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niel\OneDrive\Documents\EDU Website\XLS\"/>
    </mc:Choice>
  </mc:AlternateContent>
  <xr:revisionPtr revIDLastSave="0" documentId="8_{32651E58-E8F7-4EEC-B642-0DE364E8DF09}" xr6:coauthVersionLast="47" xr6:coauthVersionMax="47" xr10:uidLastSave="{00000000-0000-0000-0000-000000000000}"/>
  <workbookProtection workbookAlgorithmName="SHA-512" workbookHashValue="AeQu4H8wgpN2CD+b8ACgwt/0mTB1JhBqf54hwlrr5Aw8ELzcZcwemA5GSgfe6ZghfAWwipishOFysiBZyIYcIA==" workbookSaltValue="V0K/5Tx2g3qSGH4hW5g8IA==" workbookSpinCount="100000" lockStructure="1"/>
  <bookViews>
    <workbookView xWindow="-96" yWindow="-96" windowWidth="23232" windowHeight="12432" activeTab="1" xr2:uid="{D1323154-5D3D-46F5-8376-7F8C67541696}"/>
  </bookViews>
  <sheets>
    <sheet name="FetalGrowth" sheetId="1" r:id="rId1"/>
    <sheet name="User Info" sheetId="3" r:id="rId2"/>
  </sheets>
  <definedNames>
    <definedName name="_xlnm.Print_Area" localSheetId="0">FetalGrowth!$A$1:$B$16</definedName>
    <definedName name="Sex">FetalGrowth!$C$1:$C$3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40" i="1" l="1"/>
  <c r="B31" i="1"/>
  <c r="B67" i="1"/>
  <c r="B58" i="1"/>
  <c r="B49" i="1"/>
  <c r="B22" i="1"/>
  <c r="B19" i="1" l="1"/>
  <c r="B21" i="1"/>
  <c r="B6" i="1"/>
  <c r="B20" i="1"/>
  <c r="J8" i="1" l="1"/>
  <c r="J16" i="1"/>
  <c r="J24" i="1"/>
  <c r="J32" i="1"/>
  <c r="J14" i="1"/>
  <c r="J9" i="1"/>
  <c r="J17" i="1"/>
  <c r="J25" i="1"/>
  <c r="J33" i="1"/>
  <c r="J22" i="1"/>
  <c r="J10" i="1"/>
  <c r="J18" i="1"/>
  <c r="J26" i="1"/>
  <c r="J7" i="1"/>
  <c r="J28" i="1"/>
  <c r="J15" i="1"/>
  <c r="J11" i="1"/>
  <c r="J19" i="1"/>
  <c r="J27" i="1"/>
  <c r="J20" i="1"/>
  <c r="J23" i="1"/>
  <c r="J12" i="1"/>
  <c r="J13" i="1"/>
  <c r="J21" i="1"/>
  <c r="J29" i="1"/>
  <c r="J30" i="1"/>
  <c r="J31" i="1"/>
  <c r="AN8" i="1"/>
  <c r="AH12" i="1"/>
  <c r="AB9" i="1"/>
  <c r="V14" i="1"/>
  <c r="P11" i="1"/>
  <c r="AN10" i="1"/>
  <c r="AN9" i="1"/>
  <c r="V13" i="1"/>
  <c r="AN15" i="1"/>
  <c r="AN7" i="1"/>
  <c r="AH13" i="1"/>
  <c r="AB10" i="1"/>
  <c r="V7" i="1"/>
  <c r="V15" i="1"/>
  <c r="P12" i="1"/>
  <c r="V12" i="1"/>
  <c r="AB8" i="1"/>
  <c r="AN14" i="1"/>
  <c r="AH14" i="1"/>
  <c r="AB11" i="1"/>
  <c r="V8" i="1"/>
  <c r="P13" i="1"/>
  <c r="V9" i="1"/>
  <c r="P14" i="1"/>
  <c r="P8" i="1"/>
  <c r="AB15" i="1"/>
  <c r="AH11" i="1"/>
  <c r="AN13" i="1"/>
  <c r="AH7" i="1"/>
  <c r="AH15" i="1"/>
  <c r="AB12" i="1"/>
  <c r="AH9" i="1"/>
  <c r="V11" i="1"/>
  <c r="AB7" i="1"/>
  <c r="P10" i="1"/>
  <c r="AN12" i="1"/>
  <c r="AH8" i="1"/>
  <c r="AB13" i="1"/>
  <c r="V10" i="1"/>
  <c r="P7" i="1"/>
  <c r="P15" i="1"/>
  <c r="AN11" i="1"/>
  <c r="AB14" i="1"/>
  <c r="AH10" i="1"/>
  <c r="P9" i="1"/>
  <c r="B5" i="1"/>
  <c r="B30" i="1" a="1"/>
  <c r="B29" i="1" a="1"/>
  <c r="B75" i="1" a="1"/>
  <c r="B39" i="1" a="1"/>
  <c r="B66" i="1" a="1"/>
  <c r="B57" i="1" a="1"/>
  <c r="B48" i="1" a="1"/>
  <c r="B74" i="1" a="1"/>
  <c r="B56" i="1" a="1"/>
  <c r="B47" i="1" a="1"/>
  <c r="B38" i="1" a="1"/>
  <c r="B65" i="1" a="1"/>
  <c r="B29" i="1" l="1"/>
  <c r="B30" i="1"/>
  <c r="B48" i="1"/>
  <c r="B57" i="1"/>
  <c r="B66" i="1"/>
  <c r="B39" i="1"/>
  <c r="B75" i="1"/>
  <c r="B23" i="1"/>
  <c r="B50" i="1"/>
  <c r="B59" i="1"/>
  <c r="B38" i="1"/>
  <c r="B47" i="1"/>
  <c r="B65" i="1"/>
  <c r="B74" i="1"/>
  <c r="B56" i="1"/>
  <c r="B32" i="1"/>
  <c r="B41" i="1"/>
  <c r="B68" i="1"/>
  <c r="B60" i="1"/>
  <c r="B34" i="1"/>
  <c r="B24" i="1"/>
  <c r="B51" i="1"/>
  <c r="B70" i="1"/>
  <c r="B43" i="1"/>
  <c r="Y1" i="1" l="1"/>
  <c r="AE1" i="1"/>
  <c r="AL1" i="1"/>
  <c r="F1" i="1"/>
  <c r="N1" i="1"/>
  <c r="T1" i="1"/>
  <c r="B35" i="1"/>
  <c r="B44" i="1"/>
  <c r="B71" i="1"/>
  <c r="B61" i="1"/>
  <c r="B42" i="1"/>
  <c r="B69" i="1"/>
  <c r="B25" i="1"/>
  <c r="B33" i="1"/>
  <c r="B52" i="1"/>
  <c r="B73" i="1"/>
  <c r="B37" i="1"/>
  <c r="B46" i="1"/>
  <c r="B26" i="1" l="1"/>
  <c r="AK1" i="1"/>
  <c r="S1" i="1"/>
  <c r="Z1" i="1"/>
  <c r="B53" i="1"/>
  <c r="M1" i="1"/>
  <c r="AF1" i="1"/>
  <c r="B62" i="1"/>
  <c r="G1" i="1"/>
  <c r="AL2" i="1"/>
  <c r="N2" i="1"/>
  <c r="T2" i="1"/>
  <c r="B45" i="1"/>
  <c r="B36" i="1"/>
  <c r="B72" i="1"/>
  <c r="AK2" i="1" l="1"/>
  <c r="AK3" i="1" s="1"/>
  <c r="AL3" i="1" s="1"/>
  <c r="B16" i="1" s="1"/>
  <c r="M2" i="1"/>
  <c r="M3" i="1" s="1"/>
  <c r="N3" i="1" s="1"/>
  <c r="B8" i="1" s="1"/>
  <c r="S2" i="1"/>
  <c r="S3" i="1" s="1"/>
  <c r="T3" i="1" s="1"/>
  <c r="B10" i="1" s="1"/>
  <c r="B63" i="1"/>
  <c r="B54" i="1"/>
  <c r="B55" i="1"/>
  <c r="B27" i="1"/>
  <c r="B64" i="1"/>
  <c r="B28" i="1"/>
  <c r="Z2" i="1" l="1"/>
  <c r="Y2" i="1"/>
  <c r="Y3" i="1" s="1"/>
  <c r="AE2" i="1"/>
  <c r="AE3" i="1" s="1"/>
  <c r="AF2" i="1"/>
  <c r="F2" i="1"/>
  <c r="F3" i="1" s="1"/>
  <c r="G2" i="1"/>
  <c r="G3" i="1" l="1"/>
  <c r="B18" i="1" s="1"/>
  <c r="Z3" i="1"/>
  <c r="B12" i="1" s="1"/>
  <c r="AF3" i="1"/>
  <c r="B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<sst xmlns="http://schemas.openxmlformats.org/spreadsheetml/2006/main" count="185" uniqueCount="112">
  <si>
    <t>sex</t>
  </si>
  <si>
    <t>quantile</t>
  </si>
  <si>
    <t>b0</t>
  </si>
  <si>
    <t>b1</t>
  </si>
  <si>
    <t>b2</t>
  </si>
  <si>
    <t>b3</t>
  </si>
  <si>
    <t>b4</t>
  </si>
  <si>
    <t>F</t>
  </si>
  <si>
    <t>M</t>
  </si>
  <si>
    <t>U</t>
  </si>
  <si>
    <t>Parameters</t>
  </si>
  <si>
    <t>Date of Measurement</t>
  </si>
  <si>
    <t>Date of LMP</t>
  </si>
  <si>
    <t>AgeWhole Weeks</t>
  </si>
  <si>
    <t>Gestational Age (weeks)</t>
  </si>
  <si>
    <t>AgeDecimal</t>
  </si>
  <si>
    <t>Gestational Age (days)</t>
  </si>
  <si>
    <t>AgeRemainingDays</t>
  </si>
  <si>
    <t>Sex</t>
  </si>
  <si>
    <t>Calculation</t>
  </si>
  <si>
    <t>RoundDown</t>
  </si>
  <si>
    <t>Interpolation</t>
  </si>
  <si>
    <t>RoundUp</t>
  </si>
  <si>
    <t>Abdominal Circumference (mm)</t>
  </si>
  <si>
    <t>Abdominal Circumference %</t>
  </si>
  <si>
    <t>EBWRoundDownRow</t>
  </si>
  <si>
    <t>EBWRoundDownValue</t>
  </si>
  <si>
    <t>EBWRoundDownQuantile</t>
  </si>
  <si>
    <t>EBWRoundUpRow</t>
  </si>
  <si>
    <t>EBWRoundUpValue</t>
  </si>
  <si>
    <t>EBWRoundUpQuantile</t>
  </si>
  <si>
    <t>EBWLowest</t>
  </si>
  <si>
    <t>EBWHeighest</t>
  </si>
  <si>
    <t>ACRoundDownRow</t>
  </si>
  <si>
    <t>ACRoundDownValue</t>
  </si>
  <si>
    <t>ACRoundDownQuantile</t>
  </si>
  <si>
    <t>ACRoundUpRow</t>
  </si>
  <si>
    <t>ACRoundUpValue</t>
  </si>
  <si>
    <t>ACRoundUpQuantile</t>
  </si>
  <si>
    <t>ACLowest</t>
  </si>
  <si>
    <t>ACHeighest</t>
  </si>
  <si>
    <t>FLRoundDownRow</t>
  </si>
  <si>
    <t>FLRoundDownValue</t>
  </si>
  <si>
    <t>FLRoundDownQuantile</t>
  </si>
  <si>
    <t>FLRoundUpRow</t>
  </si>
  <si>
    <t>FLRoundUpValue</t>
  </si>
  <si>
    <t>FLRoundUpQuantile</t>
  </si>
  <si>
    <t>FLLowest</t>
  </si>
  <si>
    <t>FLHeighest</t>
  </si>
  <si>
    <t>BPDRoundDownRow</t>
  </si>
  <si>
    <t>BPDRoundDownValue</t>
  </si>
  <si>
    <t>BPDRoundDownQuantile</t>
  </si>
  <si>
    <t>BPDRoundUpRow</t>
  </si>
  <si>
    <t>BPDRoundUpValue</t>
  </si>
  <si>
    <t>BPDRoundUpQuantile</t>
  </si>
  <si>
    <t>BPDLowest</t>
  </si>
  <si>
    <t>BPDHeighest</t>
  </si>
  <si>
    <t>HLRoundDownRow</t>
  </si>
  <si>
    <t>HLRoundDownValue</t>
  </si>
  <si>
    <t>HLRoundDownQuantile</t>
  </si>
  <si>
    <t>HLRoundUpRow</t>
  </si>
  <si>
    <t>HLRoundUpValue</t>
  </si>
  <si>
    <t>HLRoundUpQuantile</t>
  </si>
  <si>
    <t>HLLowest</t>
  </si>
  <si>
    <t>HLHeighest</t>
  </si>
  <si>
    <t>Femur Length (mm)</t>
  </si>
  <si>
    <t>Femur Length %</t>
  </si>
  <si>
    <t>Biparietal Diameter %</t>
  </si>
  <si>
    <t>Biparietal Diameter (mm)</t>
  </si>
  <si>
    <t>Humerus Length</t>
  </si>
  <si>
    <t>Humerus Length (mm)</t>
  </si>
  <si>
    <t>Humerus Length %</t>
  </si>
  <si>
    <t>Head Circumference (mm)</t>
  </si>
  <si>
    <t>Head Circumference %</t>
  </si>
  <si>
    <t>Estimated Body Weight</t>
  </si>
  <si>
    <t>Head Circumference</t>
  </si>
  <si>
    <t>Abdominal Circumference</t>
  </si>
  <si>
    <t>Femur Length</t>
  </si>
  <si>
    <t>Biparietal Diameter</t>
  </si>
  <si>
    <t>LogEBW</t>
  </si>
  <si>
    <t>LogAC</t>
  </si>
  <si>
    <t>LogFL</t>
  </si>
  <si>
    <t>LogBPD</t>
  </si>
  <si>
    <t>LogHL</t>
  </si>
  <si>
    <t>LogHC</t>
  </si>
  <si>
    <t>HCRoundDownRow</t>
  </si>
  <si>
    <t>HCRoundDownValue</t>
  </si>
  <si>
    <t>HCRoundDownQuantile</t>
  </si>
  <si>
    <t>HCRoundUpRow</t>
  </si>
  <si>
    <t>HCRoundUpValue</t>
  </si>
  <si>
    <t>HCRoundUpQuantile</t>
  </si>
  <si>
    <t>HCLowest</t>
  </si>
  <si>
    <t>HCHeighest</t>
  </si>
  <si>
    <t>These Anthropometric Calculators are Microsoft® Office Excel® workbooks which can calculate Z-scores and centiles for height/length, weight, weight-for-length, body-mass index, waist circumference, head circumference, skinfolds</t>
  </si>
  <si>
    <t>Citations are provided for each reference range used for the calculations.</t>
  </si>
  <si>
    <t>These workbooks are free and do not contain macros. They may be used online or downloaded and saved to your hard drive.</t>
  </si>
  <si>
    <t>Anthropometric Calculator for obese children, with extended BMI-based measures of extreme overweight/obesity, based on WHO and CDC norms</t>
  </si>
  <si>
    <t>Anthropometric Calculator for children with Turner, Noonan, Russell–Silver, Prader–Willi, and Down syndromes, based on various published norms [references in workbook].</t>
  </si>
  <si>
    <t>Please let us know if you have any questions about these calculators or any difficulties in using them.</t>
  </si>
  <si>
    <t>The most recent versions of these calculators are available online at:</t>
  </si>
  <si>
    <t>http://www.bcchildrens.ca/health-professionals/clinical-resources/endocrinology-diabetes/tools-calculators#Anthro--calculators</t>
  </si>
  <si>
    <t>Daniel L. Metzger, MD</t>
  </si>
  <si>
    <t>dmetzger@cw.bc.ca</t>
  </si>
  <si>
    <t>Anthropometric Calculator for normal children 0–20 years of age, based on the US Centers for Disease Control and Prevention (CDC) 2000 growth charts [available online at https://cdc.gov/growthcharts/].</t>
  </si>
  <si>
    <t>Anthropometric Calculator for normal children 0–19 years of age, based on the World Health Organization (WHO) Growth Charts for Canada (2014 revision) [available online at https://whogrowthcharts.ca].</t>
  </si>
  <si>
    <t>Anthropometric Calculator for fetal growth for 14–40 weeks of gestational age, based on WHO Fetal Growth Charts [available online at https://srhr.org/fetalgrowthcalculator/].</t>
  </si>
  <si>
    <t xml:space="preserve">There are currently five calculators available: </t>
  </si>
  <si>
    <t>syndromes; and various measurements of fetal growth.</t>
  </si>
  <si>
    <t>target (midparental) height, predicted adult height, and height velocity for typically growing children (using Who and CDC references); for blood pressure (NIH/NHLBI 2004 or AAP 2017); some measurements for children with a number of</t>
  </si>
  <si>
    <t>Estimated Fetal Weight (g)</t>
  </si>
  <si>
    <t>Kiserud T, et al. PLoS Med 2017;14(1):e1002220 | Hadlock F, et al. Am J Obstet Gynecol 1985;151(3)333-337</t>
  </si>
  <si>
    <t>Estimated Fetal Weight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</si>
</sst>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000E+00"/>
    <numFmt numFmtId="165" formatCode="[$-1009]mmmm\ d\,\ yyyy;@"/>
    <numFmt numFmtId="166" formatCode="yyyy\-mm\-dd"/>
    <numFmt numFmtId="167" formatCode="0.0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19" fillId="0" borderId="0" xfId="43" applyFont="1" applyProtection="1">
      <protection hidden="1"/>
    </xf>
    <xf numFmtId="0" fontId="19" fillId="0" borderId="0" xfId="43" applyFont="1" applyAlignment="1" applyProtection="1">
      <alignment horizontal="left" indent="1"/>
      <protection hidden="1"/>
    </xf>
    <xf numFmtId="0" fontId="19" fillId="0" borderId="0" xfId="43" applyFont="1" applyAlignment="1" applyProtection="1">
      <alignment horizontal="left" vertical="center" indent="1"/>
      <protection hidden="1"/>
    </xf>
    <xf numFmtId="0" fontId="19" fillId="0" borderId="0" xfId="43" applyFont="1" applyAlignment="1" applyProtection="1">
      <alignment horizontal="left" vertical="center"/>
      <protection hidden="1"/>
    </xf>
    <xf numFmtId="0" fontId="21" fillId="0" borderId="0" xfId="44" applyFont="1" applyAlignment="1" applyProtection="1">
      <protection hidden="1"/>
    </xf>
    <xf numFmtId="0" fontId="22" fillId="0" borderId="0" xfId="43" applyFont="1" applyProtection="1">
      <protection hidden="1"/>
    </xf>
    <xf numFmtId="0" fontId="23" fillId="0" borderId="0" xfId="44" applyFont="1" applyAlignment="1" applyProtection="1">
      <protection hidden="1"/>
    </xf>
    <xf numFmtId="165" fontId="24" fillId="0" borderId="0" xfId="44" applyNumberFormat="1" applyFont="1" applyAlignment="1" applyProtection="1">
      <alignment horizontal="left"/>
      <protection hidden="1"/>
    </xf>
    <xf numFmtId="165" fontId="24" fillId="0" borderId="0" xfId="43" applyNumberFormat="1" applyFont="1" applyAlignment="1" applyProtection="1">
      <alignment horizontal="left"/>
      <protection hidden="1"/>
    </xf>
    <xf numFmtId="166" fontId="19" fillId="0" borderId="0" xfId="43" applyNumberFormat="1" applyFont="1" applyProtection="1">
      <protection hidden="1"/>
    </xf>
    <xf numFmtId="0" fontId="0" fillId="33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67" fontId="0" fillId="33" borderId="10" xfId="0" applyNumberFormat="1" applyFill="1" applyBorder="1" applyAlignment="1">
      <alignment horizontal="center" vertical="center"/>
    </xf>
    <xf numFmtId="167" fontId="0" fillId="33" borderId="0" xfId="0" applyNumberFormat="1" applyFill="1" applyAlignment="1">
      <alignment horizontal="center" vertical="center"/>
    </xf>
    <xf numFmtId="0" fontId="1" fillId="33" borderId="10" xfId="42" applyFill="1" applyBorder="1" applyAlignment="1" applyProtection="1">
      <alignment horizontal="center" vertical="center"/>
      <protection hidden="1"/>
    </xf>
    <xf numFmtId="0" fontId="0" fillId="33" borderId="14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164" fontId="0" fillId="33" borderId="16" xfId="0" applyNumberFormat="1" applyFill="1" applyBorder="1" applyAlignment="1">
      <alignment horizontal="center" vertical="center"/>
    </xf>
    <xf numFmtId="164" fontId="0" fillId="33" borderId="13" xfId="0" applyNumberFormat="1" applyFill="1" applyBorder="1"/>
    <xf numFmtId="164" fontId="0" fillId="33" borderId="11" xfId="0" applyNumberFormat="1" applyFill="1" applyBorder="1"/>
    <xf numFmtId="0" fontId="0" fillId="33" borderId="11" xfId="0" applyFill="1" applyBorder="1" applyAlignment="1">
      <alignment horizontal="center"/>
    </xf>
    <xf numFmtId="164" fontId="0" fillId="33" borderId="11" xfId="0" applyNumberFormat="1" applyFill="1" applyBorder="1" applyAlignment="1">
      <alignment horizontal="center" vertical="center"/>
    </xf>
    <xf numFmtId="164" fontId="0" fillId="33" borderId="12" xfId="0" applyNumberFormat="1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164" fontId="0" fillId="33" borderId="12" xfId="0" applyNumberFormat="1" applyFill="1" applyBorder="1"/>
    <xf numFmtId="0" fontId="0" fillId="33" borderId="12" xfId="0" applyFill="1" applyBorder="1" applyAlignment="1">
      <alignment horizontal="center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1" fillId="34" borderId="10" xfId="42" applyFill="1" applyBorder="1" applyAlignment="1" applyProtection="1">
      <alignment horizontal="center" vertical="center"/>
      <protection hidden="1"/>
    </xf>
    <xf numFmtId="0" fontId="0" fillId="34" borderId="10" xfId="42" applyFont="1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locked="0"/>
    </xf>
    <xf numFmtId="14" fontId="0" fillId="0" borderId="10" xfId="0" applyNumberForma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167" fontId="14" fillId="0" borderId="10" xfId="0" applyNumberFormat="1" applyFont="1" applyFill="1" applyBorder="1" applyAlignment="1">
      <alignment horizontal="center" vertical="center"/>
    </xf>
    <xf numFmtId="0" fontId="16" fillId="34" borderId="15" xfId="0" applyFont="1" applyFill="1" applyBorder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12CDBEEA-F92F-47B6-9A73-6F72EDB1077D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3" xr:uid="{B1330A4D-C16C-49DE-AFF7-18D3A8AE5E1A}"/>
    <cellStyle name="Normal 4" xfId="42" xr:uid="{68825E2B-DABA-4CBC-A3A0-F3F8F9D5CA64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metzger@cw.bc.ca" TargetMode="External"/><Relationship Id="rId1" Type="http://schemas.openxmlformats.org/officeDocument/2006/relationships/hyperlink" Target="http://www.bcchildrens.ca/health-professionals/clinical-resources/endocrinology-diabetes/tools-calcul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2211D-CA9F-48DE-A30B-69C576A2A07F}">
  <sheetPr>
    <tabColor rgb="FFFFFFCC"/>
  </sheetPr>
  <dimension ref="A1:AN75"/>
  <sheetViews>
    <sheetView zoomScaleNormal="100" workbookViewId="0">
      <selection activeCell="B3" sqref="B3"/>
    </sheetView>
  </sheetViews>
  <sheetFormatPr defaultRowHeight="14.4" x14ac:dyDescent="0.55000000000000004"/>
  <cols>
    <col min="1" max="1" width="25.83984375" style="12" bestFit="1" customWidth="1"/>
    <col min="2" max="2" width="11.68359375" style="12" bestFit="1" customWidth="1"/>
    <col min="3" max="3" width="3.26171875" style="12" bestFit="1" customWidth="1"/>
    <col min="4" max="4" width="7.05078125" style="12" bestFit="1" customWidth="1"/>
    <col min="5" max="5" width="20.9453125" style="12" bestFit="1" customWidth="1"/>
    <col min="6" max="6" width="19.89453125" style="12" bestFit="1" customWidth="1"/>
    <col min="7" max="9" width="20.47265625" style="12" bestFit="1" customWidth="1"/>
    <col min="10" max="10" width="9.68359375" style="12" bestFit="1" customWidth="1"/>
    <col min="11" max="11" width="20.3125" style="12" bestFit="1" customWidth="1"/>
    <col min="12" max="12" width="19.89453125" style="12" bestFit="1" customWidth="1"/>
    <col min="13" max="13" width="20.47265625" style="12" bestFit="1" customWidth="1"/>
    <col min="14" max="14" width="19.89453125" style="12" bestFit="1" customWidth="1"/>
    <col min="15" max="15" width="20.3125" style="12" bestFit="1" customWidth="1"/>
    <col min="16" max="16" width="11.68359375" style="12" bestFit="1" customWidth="1"/>
    <col min="17" max="17" width="20.3125" style="12" bestFit="1" customWidth="1"/>
    <col min="18" max="18" width="19.89453125" style="12" bestFit="1" customWidth="1"/>
    <col min="19" max="19" width="20.47265625" style="12" bestFit="1" customWidth="1"/>
    <col min="20" max="20" width="19.89453125" style="12" bestFit="1" customWidth="1"/>
    <col min="21" max="21" width="20.3125" style="12" bestFit="1" customWidth="1"/>
    <col min="22" max="22" width="11.68359375" style="12" bestFit="1" customWidth="1"/>
    <col min="23" max="23" width="20.9453125" style="12" bestFit="1" customWidth="1"/>
    <col min="24" max="24" width="20.3125" style="12" bestFit="1" customWidth="1"/>
    <col min="25" max="25" width="20.47265625" style="12" bestFit="1" customWidth="1"/>
    <col min="26" max="26" width="19.89453125" style="12" bestFit="1" customWidth="1"/>
    <col min="27" max="27" width="20.47265625" style="12" bestFit="1" customWidth="1"/>
    <col min="28" max="28" width="11.68359375" style="12" bestFit="1" customWidth="1"/>
    <col min="29" max="29" width="20.3125" style="12" bestFit="1" customWidth="1"/>
    <col min="30" max="30" width="19.89453125" style="12" bestFit="1" customWidth="1"/>
    <col min="31" max="31" width="20.47265625" style="12" bestFit="1" customWidth="1"/>
    <col min="32" max="32" width="19.89453125" style="12" bestFit="1" customWidth="1"/>
    <col min="33" max="33" width="20.3125" style="12" bestFit="1" customWidth="1"/>
    <col min="34" max="34" width="11.68359375" style="12" bestFit="1" customWidth="1"/>
    <col min="35" max="35" width="20.9453125" style="12" bestFit="1" customWidth="1"/>
    <col min="36" max="36" width="20.3125" style="12" bestFit="1" customWidth="1"/>
    <col min="37" max="37" width="20.47265625" style="12" bestFit="1" customWidth="1"/>
    <col min="38" max="38" width="19.89453125" style="12" bestFit="1" customWidth="1"/>
    <col min="39" max="39" width="20.47265625" style="12" bestFit="1" customWidth="1"/>
    <col min="40" max="40" width="11.68359375" style="12" bestFit="1" customWidth="1"/>
    <col min="41" max="41" width="20.3125" style="12" bestFit="1" customWidth="1"/>
    <col min="42" max="42" width="20.47265625" style="12" bestFit="1" customWidth="1"/>
    <col min="43" max="43" width="19.89453125" style="12" bestFit="1" customWidth="1"/>
    <col min="44" max="44" width="20.47265625" style="12" bestFit="1" customWidth="1"/>
    <col min="45" max="45" width="11.68359375" style="12" bestFit="1" customWidth="1"/>
    <col min="46" max="16384" width="8.83984375" style="12"/>
  </cols>
  <sheetData>
    <row r="1" spans="1:40" x14ac:dyDescent="0.55000000000000004">
      <c r="A1" s="28" t="s">
        <v>10</v>
      </c>
      <c r="B1" s="28"/>
      <c r="C1" s="12" t="s">
        <v>8</v>
      </c>
      <c r="E1" s="13" t="s">
        <v>20</v>
      </c>
      <c r="F1" s="13">
        <f ca="1">$B24</f>
        <v>4.6496527082570491</v>
      </c>
      <c r="G1" s="13">
        <f ca="1">$B25</f>
        <v>75</v>
      </c>
      <c r="L1" s="13" t="s">
        <v>20</v>
      </c>
      <c r="M1" s="13">
        <f ca="1">$B33</f>
        <v>4.5859106468731055</v>
      </c>
      <c r="N1" s="13">
        <f ca="1">$B34</f>
        <v>25</v>
      </c>
      <c r="R1" s="12" t="s">
        <v>20</v>
      </c>
      <c r="S1" s="12">
        <f ca="1">$B42</f>
        <v>4.5524422570108367</v>
      </c>
      <c r="T1" s="12">
        <f ca="1">$B43</f>
        <v>95</v>
      </c>
      <c r="X1" s="13" t="s">
        <v>20</v>
      </c>
      <c r="Y1" s="13">
        <f ca="1">$B51</f>
        <v>2.7050149963140733</v>
      </c>
      <c r="Z1" s="13">
        <f ca="1">$B52</f>
        <v>75</v>
      </c>
      <c r="AD1" s="13" t="s">
        <v>20</v>
      </c>
      <c r="AE1" s="13">
        <f ca="1">$B60</f>
        <v>3.1986726257154983</v>
      </c>
      <c r="AF1" s="13">
        <f ca="1">$B61</f>
        <v>5</v>
      </c>
      <c r="AJ1" s="13" t="s">
        <v>20</v>
      </c>
      <c r="AK1" s="13">
        <f ca="1">$B69</f>
        <v>2.6676978145855563</v>
      </c>
      <c r="AL1" s="13">
        <f ca="1">$B70</f>
        <v>50</v>
      </c>
    </row>
    <row r="2" spans="1:40" x14ac:dyDescent="0.55000000000000004">
      <c r="A2" s="29" t="s">
        <v>18</v>
      </c>
      <c r="B2" s="32" t="s">
        <v>9</v>
      </c>
      <c r="C2" s="12" t="s">
        <v>7</v>
      </c>
      <c r="E2" s="13" t="s">
        <v>22</v>
      </c>
      <c r="F2" s="13">
        <f ca="1">$B27</f>
        <v>4.7150701966371811</v>
      </c>
      <c r="G2" s="13">
        <f ca="1">$B28</f>
        <v>90</v>
      </c>
      <c r="L2" s="13" t="s">
        <v>22</v>
      </c>
      <c r="M2" s="13">
        <f ca="1">$B36</f>
        <v>4.6327849034935449</v>
      </c>
      <c r="N2" s="13">
        <f ca="1">$B37</f>
        <v>50</v>
      </c>
      <c r="R2" s="12" t="s">
        <v>22</v>
      </c>
      <c r="S2" s="12">
        <f ca="1">$B45</f>
        <v>4.5894820167236512</v>
      </c>
      <c r="T2" s="12">
        <f ca="1">$B46</f>
        <v>97.5</v>
      </c>
      <c r="X2" s="13" t="s">
        <v>22</v>
      </c>
      <c r="Y2" s="13">
        <f ca="1">$B54</f>
        <v>2.7751208727836008</v>
      </c>
      <c r="Z2" s="13">
        <f ca="1">$B55</f>
        <v>90</v>
      </c>
      <c r="AD2" s="13" t="s">
        <v>22</v>
      </c>
      <c r="AE2" s="13">
        <f ca="1">$B63</f>
        <v>3.2274825164650842</v>
      </c>
      <c r="AF2" s="13">
        <f ca="1">$B64</f>
        <v>10</v>
      </c>
      <c r="AJ2" s="13" t="s">
        <v>22</v>
      </c>
      <c r="AK2" s="13">
        <f ca="1">$B72</f>
        <v>2.7447083101184013</v>
      </c>
      <c r="AL2" s="13">
        <f ca="1">$B73</f>
        <v>75</v>
      </c>
    </row>
    <row r="3" spans="1:40" x14ac:dyDescent="0.55000000000000004">
      <c r="A3" s="29" t="s">
        <v>12</v>
      </c>
      <c r="B3" s="33">
        <v>45292</v>
      </c>
      <c r="C3" s="12" t="s">
        <v>9</v>
      </c>
      <c r="E3" s="13" t="s">
        <v>21</v>
      </c>
      <c r="F3" s="13">
        <f ca="1">($B22-F1)/(F2-F1)</f>
        <v>0.71545797464469874</v>
      </c>
      <c r="G3" s="14">
        <f ca="1">ROUND(G1+ F3*(G2-G1),1)</f>
        <v>85.7</v>
      </c>
      <c r="L3" s="13" t="s">
        <v>21</v>
      </c>
      <c r="M3" s="13">
        <f ca="1">($B31-M1)/(M2-M1)</f>
        <v>0.41087668378271974</v>
      </c>
      <c r="N3" s="14">
        <f ca="1">ROUND(N1+ M3*(N2-N1),1)</f>
        <v>35.299999999999997</v>
      </c>
      <c r="R3" s="12" t="s">
        <v>21</v>
      </c>
      <c r="S3" s="12">
        <f ca="1">($B40-S1)/(S2-S1)</f>
        <v>3.8732286624627306E-2</v>
      </c>
      <c r="T3" s="15">
        <f ca="1">ROUND(T1+ S3*(T2-T1),1)</f>
        <v>95.1</v>
      </c>
      <c r="X3" s="13" t="s">
        <v>21</v>
      </c>
      <c r="Y3" s="13">
        <f ca="1">($B49-Y1)/(Y2-Y1)</f>
        <v>4.3294584434103563E-2</v>
      </c>
      <c r="Z3" s="14">
        <f ca="1">ROUND(Z1+ Y3*(Z2-Z1),1)</f>
        <v>75.599999999999994</v>
      </c>
      <c r="AD3" s="13" t="s">
        <v>21</v>
      </c>
      <c r="AE3" s="13">
        <f ca="1">($B58-AE1)/(AE2-AE1)</f>
        <v>0.70125913799213746</v>
      </c>
      <c r="AF3" s="14">
        <f ca="1">ROUND(AF1+ AE3*(AF2-AF1),1)</f>
        <v>8.5</v>
      </c>
      <c r="AJ3" s="13" t="s">
        <v>21</v>
      </c>
      <c r="AK3" s="13">
        <f ca="1">($B67-AK1)/(AK2-AK1)</f>
        <v>0.52398554557337484</v>
      </c>
      <c r="AL3" s="14">
        <f ca="1">ROUND(AL1+ AK3*(AL2-AL1),1)</f>
        <v>63.1</v>
      </c>
    </row>
    <row r="4" spans="1:40" x14ac:dyDescent="0.55000000000000004">
      <c r="A4" s="30" t="s">
        <v>11</v>
      </c>
      <c r="B4" s="33">
        <v>45392</v>
      </c>
      <c r="C4" s="37" t="s">
        <v>110</v>
      </c>
      <c r="D4" s="38"/>
      <c r="E4" s="38"/>
      <c r="F4" s="38"/>
      <c r="G4" s="39"/>
      <c r="H4" s="39"/>
    </row>
    <row r="5" spans="1:40" x14ac:dyDescent="0.55000000000000004">
      <c r="A5" s="30" t="s">
        <v>14</v>
      </c>
      <c r="B5" s="34" t="str">
        <f>B19&amp;" "&amp;B20&amp;"/7"</f>
        <v>14 2/7</v>
      </c>
      <c r="E5" s="11" t="s">
        <v>74</v>
      </c>
      <c r="F5" s="11"/>
      <c r="G5" s="11"/>
      <c r="H5" s="11"/>
      <c r="I5" s="11"/>
      <c r="J5" s="11"/>
      <c r="K5" s="11" t="s">
        <v>75</v>
      </c>
      <c r="L5" s="11"/>
      <c r="M5" s="11"/>
      <c r="N5" s="11"/>
      <c r="O5" s="11"/>
      <c r="P5" s="11"/>
      <c r="Q5" s="11" t="s">
        <v>76</v>
      </c>
      <c r="R5" s="11"/>
      <c r="S5" s="11"/>
      <c r="T5" s="11"/>
      <c r="U5" s="11"/>
      <c r="V5" s="11"/>
      <c r="W5" s="11" t="s">
        <v>77</v>
      </c>
      <c r="X5" s="11"/>
      <c r="Y5" s="11"/>
      <c r="Z5" s="11"/>
      <c r="AA5" s="11"/>
      <c r="AB5" s="11"/>
      <c r="AC5" s="11" t="s">
        <v>78</v>
      </c>
      <c r="AD5" s="11"/>
      <c r="AE5" s="11"/>
      <c r="AF5" s="11"/>
      <c r="AG5" s="11"/>
      <c r="AH5" s="11"/>
      <c r="AI5" s="11" t="s">
        <v>69</v>
      </c>
      <c r="AJ5" s="11"/>
      <c r="AK5" s="11"/>
      <c r="AL5" s="11"/>
      <c r="AM5" s="11"/>
      <c r="AN5" s="11"/>
    </row>
    <row r="6" spans="1:40" x14ac:dyDescent="0.55000000000000004">
      <c r="A6" s="30" t="s">
        <v>16</v>
      </c>
      <c r="B6" s="34">
        <f>B4-B3</f>
        <v>100</v>
      </c>
      <c r="C6" s="13" t="s">
        <v>0</v>
      </c>
      <c r="D6" s="13" t="s">
        <v>1</v>
      </c>
      <c r="E6" s="13" t="s">
        <v>2</v>
      </c>
      <c r="F6" s="13" t="s">
        <v>3</v>
      </c>
      <c r="G6" s="13" t="s">
        <v>4</v>
      </c>
      <c r="H6" s="13" t="s">
        <v>5</v>
      </c>
      <c r="I6" s="13" t="s">
        <v>6</v>
      </c>
      <c r="J6" s="13" t="s">
        <v>19</v>
      </c>
      <c r="K6" s="17" t="s">
        <v>2</v>
      </c>
      <c r="L6" s="13" t="s">
        <v>3</v>
      </c>
      <c r="M6" s="13" t="s">
        <v>4</v>
      </c>
      <c r="N6" s="13" t="s">
        <v>5</v>
      </c>
      <c r="O6" s="13" t="s">
        <v>6</v>
      </c>
      <c r="P6" s="13" t="s">
        <v>19</v>
      </c>
      <c r="Q6" s="13" t="s">
        <v>2</v>
      </c>
      <c r="R6" s="13" t="s">
        <v>3</v>
      </c>
      <c r="S6" s="13" t="s">
        <v>4</v>
      </c>
      <c r="T6" s="13" t="s">
        <v>5</v>
      </c>
      <c r="U6" s="13" t="s">
        <v>6</v>
      </c>
      <c r="V6" s="13" t="s">
        <v>19</v>
      </c>
      <c r="W6" s="13" t="s">
        <v>2</v>
      </c>
      <c r="X6" s="13" t="s">
        <v>3</v>
      </c>
      <c r="Y6" s="13" t="s">
        <v>4</v>
      </c>
      <c r="Z6" s="13" t="s">
        <v>5</v>
      </c>
      <c r="AA6" s="13" t="s">
        <v>6</v>
      </c>
      <c r="AB6" s="13" t="s">
        <v>19</v>
      </c>
      <c r="AC6" s="13" t="s">
        <v>2</v>
      </c>
      <c r="AD6" s="13" t="s">
        <v>3</v>
      </c>
      <c r="AE6" s="13" t="s">
        <v>4</v>
      </c>
      <c r="AF6" s="13" t="s">
        <v>5</v>
      </c>
      <c r="AG6" s="13" t="s">
        <v>6</v>
      </c>
      <c r="AH6" s="13" t="s">
        <v>19</v>
      </c>
      <c r="AI6" s="13" t="s">
        <v>2</v>
      </c>
      <c r="AJ6" s="13" t="s">
        <v>3</v>
      </c>
      <c r="AK6" s="13" t="s">
        <v>4</v>
      </c>
      <c r="AL6" s="13" t="s">
        <v>5</v>
      </c>
      <c r="AM6" s="13" t="s">
        <v>6</v>
      </c>
      <c r="AN6" s="13" t="s">
        <v>19</v>
      </c>
    </row>
    <row r="7" spans="1:40" x14ac:dyDescent="0.55000000000000004">
      <c r="A7" s="30" t="s">
        <v>72</v>
      </c>
      <c r="B7" s="32">
        <v>100</v>
      </c>
      <c r="C7" s="18" t="s">
        <v>7</v>
      </c>
      <c r="D7" s="18">
        <v>2.5000000000000001E-2</v>
      </c>
      <c r="E7" s="19">
        <v>-0.91552372580427299</v>
      </c>
      <c r="F7" s="19">
        <v>0.52937441551824904</v>
      </c>
      <c r="G7" s="19">
        <v>-1.47446585943781E-2</v>
      </c>
      <c r="H7" s="19">
        <v>2.69201219853759E-4</v>
      </c>
      <c r="I7" s="19">
        <v>-2.3537061714461001E-6</v>
      </c>
      <c r="J7" s="18" t="str">
        <f>IF(AND($B$2=C7,ISTEXT($B$2),ISNUMBER($B$21)),E7+F7*$B$21+G7*($B$21)^2+H7*($B$21)^3+I7*($B$21)^4,"")</f>
        <v/>
      </c>
      <c r="K7" s="20">
        <v>1.5931751713153199</v>
      </c>
      <c r="L7" s="21">
        <v>0.29459800552433002</v>
      </c>
      <c r="M7" s="21">
        <v>-7.3860372566707001E-3</v>
      </c>
      <c r="N7" s="21">
        <v>6.5695177021614801E-5</v>
      </c>
      <c r="O7" s="21">
        <v>0</v>
      </c>
      <c r="P7" s="22">
        <f t="shared" ref="P7:P15" si="0">IF(AND(ISTEXT($B$2),ISNUMBER($B$21)),K7+L7*$B$21+M7*($B$21)^2+N7*($B$21)^3+O7*($B$21)^4,"")</f>
        <v>4.4858941630141294</v>
      </c>
      <c r="Q7" s="21">
        <v>1.19202778944614</v>
      </c>
      <c r="R7" s="21">
        <v>0.31475668199196399</v>
      </c>
      <c r="S7" s="21">
        <v>-8.0158130890216894E-3</v>
      </c>
      <c r="T7" s="21">
        <v>7.5139597654680804E-5</v>
      </c>
      <c r="U7" s="21">
        <v>0</v>
      </c>
      <c r="V7" s="22">
        <f t="shared" ref="V7:V15" si="1">IF(AND(ISTEXT($B$2),ISNUMBER($B$21)),Q7+R7*$B$21+S7*($B$21)^2+T7*($B$21)^3+U7*($B$21)^4,"")</f>
        <v>4.2717369134401499</v>
      </c>
      <c r="W7" s="21">
        <v>-7.2718717697683601</v>
      </c>
      <c r="X7" s="21">
        <v>1.2829892882616201</v>
      </c>
      <c r="Y7" s="21">
        <v>-5.80601892487905E-2</v>
      </c>
      <c r="Z7" s="21">
        <v>1.21314319801879E-3</v>
      </c>
      <c r="AA7" s="21">
        <v>-9.6017150547012294E-6</v>
      </c>
      <c r="AB7" s="22">
        <f t="shared" ref="AB7:AB15" si="2">IF(AND(ISTEXT($B$2),ISNUMBER($B$21)),W7+X7*$B$21+Y7*($B$21)^2+Z7*($B$21)^3+AA7*($B$21)^4,"")</f>
        <v>2.3444831295512434</v>
      </c>
      <c r="AC7" s="21">
        <v>0.58340478243682004</v>
      </c>
      <c r="AD7" s="21">
        <v>0.257706867351367</v>
      </c>
      <c r="AE7" s="21">
        <v>-6.0838036628125102E-3</v>
      </c>
      <c r="AF7" s="21">
        <v>5.1694037618616498E-5</v>
      </c>
      <c r="AG7" s="21">
        <v>0</v>
      </c>
      <c r="AH7" s="22">
        <f t="shared" ref="AH7:AH15" si="3">IF(AND(ISTEXT($B$2),ISNUMBER($B$21)),AC7+AD7*$B$21+AE7*($B$21)^2+AF7*($B$21)^3+AG7*($B$21)^4,"")</f>
        <v>3.1740498594322712</v>
      </c>
      <c r="AI7" s="21">
        <v>-7.4791016066310103</v>
      </c>
      <c r="AJ7" s="21">
        <v>1.35204523406865</v>
      </c>
      <c r="AK7" s="21">
        <v>-6.3653299286384399E-2</v>
      </c>
      <c r="AL7" s="21">
        <v>1.37481173675706E-3</v>
      </c>
      <c r="AM7" s="21">
        <v>-1.1210133050212199E-5</v>
      </c>
      <c r="AN7" s="18">
        <f t="shared" ref="AN7:AN15" si="4">IF(AND(ISTEXT($B$2),ISNUMBER($B$21)),AI7+AJ7*$B$21+AK7*($B$21)^2+AL7*($B$21)^3+AM7*($B$21)^4,"")</f>
        <v>2.386663164685225</v>
      </c>
    </row>
    <row r="8" spans="1:40" x14ac:dyDescent="0.55000000000000004">
      <c r="A8" s="30" t="s">
        <v>73</v>
      </c>
      <c r="B8" s="35" t="str">
        <f ca="1">IF(AND($B$6&gt;=98,$B$6&lt;=280,$B$7&gt;0),IF(B31&lt;B38,"&lt;2.5",IF(B31&gt;B39,"&gt;97.5",TEXT(N$3,"0.0")))&amp;"%","—")</f>
        <v>35.3%</v>
      </c>
      <c r="C8" s="18" t="s">
        <v>7</v>
      </c>
      <c r="D8" s="18">
        <v>0.05</v>
      </c>
      <c r="E8" s="23">
        <v>-3.5655226556693599E-2</v>
      </c>
      <c r="F8" s="23">
        <v>0.37606420922997702</v>
      </c>
      <c r="G8" s="23">
        <v>-4.9695011593787397E-3</v>
      </c>
      <c r="H8" s="23">
        <v>1.00880399508847E-5</v>
      </c>
      <c r="I8" s="23">
        <v>8.8789737996641705E-8</v>
      </c>
      <c r="J8" s="18" t="str">
        <f t="shared" ref="J8:J33" si="5">IF(AND($B$2=C8,ISTEXT($B$2),ISNUMBER($B$21)),E8+F8*$B$21+G8*($B$21)^2+H8*($B$21)^3+I8*($B$21)^4,"")</f>
        <v/>
      </c>
      <c r="K8" s="20">
        <v>1.74883945698398</v>
      </c>
      <c r="L8" s="21">
        <v>0.27840528078576299</v>
      </c>
      <c r="M8" s="21">
        <v>-6.7799095068764104E-3</v>
      </c>
      <c r="N8" s="21">
        <v>5.8358777472154798E-5</v>
      </c>
      <c r="O8" s="21">
        <v>0</v>
      </c>
      <c r="P8" s="22">
        <f t="shared" si="0"/>
        <v>4.5125444447931766</v>
      </c>
      <c r="Q8" s="21">
        <v>1.09869954558741</v>
      </c>
      <c r="R8" s="21">
        <v>0.33007999579983799</v>
      </c>
      <c r="S8" s="21">
        <v>-8.6209584372727594E-3</v>
      </c>
      <c r="T8" s="21">
        <v>8.2544012005472206E-5</v>
      </c>
      <c r="U8" s="21">
        <v>0</v>
      </c>
      <c r="V8" s="22">
        <f t="shared" si="1"/>
        <v>4.2954013047378545</v>
      </c>
      <c r="W8" s="21">
        <v>-7.0705293340441404</v>
      </c>
      <c r="X8" s="21">
        <v>1.26780052700097</v>
      </c>
      <c r="Y8" s="21">
        <v>-5.77556347769781E-2</v>
      </c>
      <c r="Z8" s="21">
        <v>1.21608381996396E-3</v>
      </c>
      <c r="AA8" s="21">
        <v>-9.7036178729264594E-6</v>
      </c>
      <c r="AB8" s="22">
        <f t="shared" si="2"/>
        <v>2.3953263200431483</v>
      </c>
      <c r="AC8" s="21">
        <v>0.64008654137447696</v>
      </c>
      <c r="AD8" s="21">
        <v>0.25352855332295998</v>
      </c>
      <c r="AE8" s="21">
        <v>-5.91651627062447E-3</v>
      </c>
      <c r="AF8" s="21">
        <v>4.9461423298774402E-5</v>
      </c>
      <c r="AG8" s="21">
        <v>0</v>
      </c>
      <c r="AH8" s="22">
        <f t="shared" si="3"/>
        <v>3.1986726257154983</v>
      </c>
      <c r="AI8" s="21">
        <v>-6.9009905720900804</v>
      </c>
      <c r="AJ8" s="21">
        <v>1.2705455313782399</v>
      </c>
      <c r="AK8" s="21">
        <v>-5.9126245011155203E-2</v>
      </c>
      <c r="AL8" s="21">
        <v>1.2637456183417E-3</v>
      </c>
      <c r="AM8" s="21">
        <v>-1.02071740374974E-5</v>
      </c>
      <c r="AN8" s="18">
        <f t="shared" si="4"/>
        <v>2.4423460242926653</v>
      </c>
    </row>
    <row r="9" spans="1:40" x14ac:dyDescent="0.55000000000000004">
      <c r="A9" s="30" t="s">
        <v>23</v>
      </c>
      <c r="B9" s="32">
        <v>95</v>
      </c>
      <c r="C9" s="18" t="s">
        <v>7</v>
      </c>
      <c r="D9" s="18">
        <v>0.1</v>
      </c>
      <c r="E9" s="23">
        <v>0.155170122624531</v>
      </c>
      <c r="F9" s="23">
        <v>0.35659476299877602</v>
      </c>
      <c r="G9" s="23">
        <v>-4.0128272780237803E-3</v>
      </c>
      <c r="H9" s="23">
        <v>-1.1489100463040899E-5</v>
      </c>
      <c r="I9" s="23">
        <v>2.91905926442287E-7</v>
      </c>
      <c r="J9" s="18" t="str">
        <f t="shared" si="5"/>
        <v/>
      </c>
      <c r="K9" s="20">
        <v>1.83059537388222</v>
      </c>
      <c r="L9" s="21">
        <v>0.27244251174973999</v>
      </c>
      <c r="M9" s="21">
        <v>-6.5954686449683801E-3</v>
      </c>
      <c r="N9" s="21">
        <v>5.6395746936512802E-5</v>
      </c>
      <c r="O9" s="21">
        <v>0</v>
      </c>
      <c r="P9" s="22">
        <f t="shared" si="0"/>
        <v>4.5410358261429913</v>
      </c>
      <c r="Q9" s="21">
        <v>1.24418122481299</v>
      </c>
      <c r="R9" s="21">
        <v>0.31631540165023397</v>
      </c>
      <c r="S9" s="21">
        <v>-8.1409268929736097E-3</v>
      </c>
      <c r="T9" s="21">
        <v>7.7250149517861898E-5</v>
      </c>
      <c r="U9" s="21">
        <v>0</v>
      </c>
      <c r="V9" s="22">
        <f t="shared" si="1"/>
        <v>4.3267775586496651</v>
      </c>
      <c r="W9" s="21">
        <v>-6.6917540735415697</v>
      </c>
      <c r="X9" s="21">
        <v>1.2250091106418901</v>
      </c>
      <c r="Y9" s="21">
        <v>-5.5920618206786003E-2</v>
      </c>
      <c r="Z9" s="21">
        <v>1.1832019190599701E-3</v>
      </c>
      <c r="AA9" s="21">
        <v>-9.5036500683197802E-6</v>
      </c>
      <c r="AB9" s="22">
        <f t="shared" si="2"/>
        <v>2.4497517664678767</v>
      </c>
      <c r="AC9" s="21">
        <v>0.67586050811028997</v>
      </c>
      <c r="AD9" s="21">
        <v>0.25343383445190998</v>
      </c>
      <c r="AE9" s="21">
        <v>-5.9560690388420403E-3</v>
      </c>
      <c r="AF9" s="21">
        <v>5.03055604381436E-5</v>
      </c>
      <c r="AG9" s="21">
        <v>0</v>
      </c>
      <c r="AH9" s="22">
        <f t="shared" si="3"/>
        <v>3.2274825164650842</v>
      </c>
      <c r="AI9" s="21">
        <v>-6.5360830274986199</v>
      </c>
      <c r="AJ9" s="21">
        <v>1.2272413635898001</v>
      </c>
      <c r="AK9" s="21">
        <v>-5.7103489540767403E-2</v>
      </c>
      <c r="AL9" s="21">
        <v>1.2220722581343501E-3</v>
      </c>
      <c r="AM9" s="21">
        <v>-9.8885298667624906E-6</v>
      </c>
      <c r="AN9" s="18">
        <f t="shared" si="4"/>
        <v>2.4932045044040132</v>
      </c>
    </row>
    <row r="10" spans="1:40" x14ac:dyDescent="0.55000000000000004">
      <c r="A10" s="30" t="s">
        <v>24</v>
      </c>
      <c r="B10" s="34" t="str">
        <f ca="1">IF(AND($B$6&gt;=98,$B$6&lt;=280,$B$9&gt;0),IF(B40&lt;B47,"&lt;2.5",IF(B40&gt;B48,"&gt;97.5",TEXT(T$3,"0.0")))&amp;"%","—")</f>
        <v>95.1%</v>
      </c>
      <c r="C10" s="18" t="s">
        <v>7</v>
      </c>
      <c r="D10" s="18">
        <v>0.25</v>
      </c>
      <c r="E10" s="23">
        <v>-6.1792668532376603E-3</v>
      </c>
      <c r="F10" s="23">
        <v>0.39148931557945399</v>
      </c>
      <c r="G10" s="23">
        <v>-5.8398336371326401E-3</v>
      </c>
      <c r="H10" s="23">
        <v>2.7470126593285401E-5</v>
      </c>
      <c r="I10" s="23">
        <v>1.25218741602196E-8</v>
      </c>
      <c r="J10" s="18" t="str">
        <f t="shared" si="5"/>
        <v/>
      </c>
      <c r="K10" s="20">
        <v>1.94181945227701</v>
      </c>
      <c r="L10" s="21">
        <v>0.26584757167445</v>
      </c>
      <c r="M10" s="21">
        <v>-6.44544904011178E-3</v>
      </c>
      <c r="N10" s="21">
        <v>5.5451781343179503E-5</v>
      </c>
      <c r="O10" s="21">
        <v>0</v>
      </c>
      <c r="P10" s="22">
        <f t="shared" si="0"/>
        <v>4.5859106468731055</v>
      </c>
      <c r="Q10" s="21">
        <v>1.4452087852814499</v>
      </c>
      <c r="R10" s="21">
        <v>0.299433786203949</v>
      </c>
      <c r="S10" s="21">
        <v>-7.5967248558594502E-3</v>
      </c>
      <c r="T10" s="21">
        <v>7.1668993412343996E-5</v>
      </c>
      <c r="U10" s="21">
        <v>0</v>
      </c>
      <c r="V10" s="22">
        <f t="shared" si="1"/>
        <v>4.3814292526114453</v>
      </c>
      <c r="W10" s="21">
        <v>-6.0795311855474203</v>
      </c>
      <c r="X10" s="21">
        <v>1.15245170563351</v>
      </c>
      <c r="Y10" s="21">
        <v>-5.2551065431443403E-2</v>
      </c>
      <c r="Z10" s="21">
        <v>1.11418613323875E-3</v>
      </c>
      <c r="AA10" s="21">
        <v>-8.9802280974713007E-6</v>
      </c>
      <c r="AB10" s="22">
        <f t="shared" si="2"/>
        <v>2.5336921440175404</v>
      </c>
      <c r="AC10" s="21">
        <v>0.76931510341548504</v>
      </c>
      <c r="AD10" s="21">
        <v>0.24992702417573501</v>
      </c>
      <c r="AE10" s="21">
        <v>-5.92399444708251E-3</v>
      </c>
      <c r="AF10" s="21">
        <v>5.0765484292690002E-5</v>
      </c>
      <c r="AG10" s="21">
        <v>0</v>
      </c>
      <c r="AH10" s="22">
        <f t="shared" si="3"/>
        <v>3.2787265529318046</v>
      </c>
      <c r="AI10" s="21">
        <v>-5.4281571579646899</v>
      </c>
      <c r="AJ10" s="21">
        <v>1.0735297773464301</v>
      </c>
      <c r="AK10" s="21">
        <v>-4.8908766493297298E-2</v>
      </c>
      <c r="AL10" s="21">
        <v>1.0293053840563001E-3</v>
      </c>
      <c r="AM10" s="21">
        <v>-8.2054104889288099E-6</v>
      </c>
      <c r="AN10" s="18">
        <f t="shared" si="4"/>
        <v>2.5857413232301116</v>
      </c>
    </row>
    <row r="11" spans="1:40" x14ac:dyDescent="0.55000000000000004">
      <c r="A11" s="30" t="s">
        <v>65</v>
      </c>
      <c r="B11" s="32">
        <v>15</v>
      </c>
      <c r="C11" s="18" t="s">
        <v>7</v>
      </c>
      <c r="D11" s="18">
        <v>0.5</v>
      </c>
      <c r="E11" s="23">
        <v>0.24727741811342299</v>
      </c>
      <c r="F11" s="23">
        <v>0.37044020028072699</v>
      </c>
      <c r="G11" s="23">
        <v>-5.0727866857534203E-3</v>
      </c>
      <c r="H11" s="23">
        <v>1.7965872433351899E-5</v>
      </c>
      <c r="I11" s="23">
        <v>3.1710201861238403E-8</v>
      </c>
      <c r="J11" s="18" t="str">
        <f t="shared" si="5"/>
        <v/>
      </c>
      <c r="K11" s="20">
        <v>2.0992487924716401</v>
      </c>
      <c r="L11" s="21">
        <v>0.25337365610603702</v>
      </c>
      <c r="M11" s="21">
        <v>-6.0564781667828199E-3</v>
      </c>
      <c r="N11" s="21">
        <v>5.1425607205991701E-5</v>
      </c>
      <c r="O11" s="21">
        <v>0</v>
      </c>
      <c r="P11" s="22">
        <f t="shared" si="0"/>
        <v>4.6327849034935449</v>
      </c>
      <c r="Q11" s="21">
        <v>1.58552931028045</v>
      </c>
      <c r="R11" s="21">
        <v>0.28993678191542399</v>
      </c>
      <c r="S11" s="21">
        <v>-7.32651929135797E-3</v>
      </c>
      <c r="T11" s="21">
        <v>6.9261631643993999E-5</v>
      </c>
      <c r="U11" s="21">
        <v>0</v>
      </c>
      <c r="V11" s="22">
        <f t="shared" si="1"/>
        <v>4.4342037470319315</v>
      </c>
      <c r="W11" s="21">
        <v>-5.5492262077644599</v>
      </c>
      <c r="X11" s="21">
        <v>1.0955999016612401</v>
      </c>
      <c r="Y11" s="21">
        <v>-5.0131092594909797E-2</v>
      </c>
      <c r="Z11" s="21">
        <v>1.0678072569586001E-3</v>
      </c>
      <c r="AA11" s="21">
        <v>-8.6397060628849299E-6</v>
      </c>
      <c r="AB11" s="22">
        <f t="shared" si="2"/>
        <v>2.6246676790714538</v>
      </c>
      <c r="AC11" s="21">
        <v>0.87298423131432601</v>
      </c>
      <c r="AD11" s="21">
        <v>0.24338500354079801</v>
      </c>
      <c r="AE11" s="21">
        <v>-5.7117252368345302E-3</v>
      </c>
      <c r="AF11" s="21">
        <v>4.8288003573365801E-5</v>
      </c>
      <c r="AG11" s="21">
        <v>0</v>
      </c>
      <c r="AH11" s="22">
        <f t="shared" si="3"/>
        <v>3.3250355228657469</v>
      </c>
      <c r="AI11" s="21">
        <v>-4.85748536478029</v>
      </c>
      <c r="AJ11" s="21">
        <v>1.0081355885780099</v>
      </c>
      <c r="AK11" s="21">
        <v>-4.60077781702957E-2</v>
      </c>
      <c r="AL11" s="21">
        <v>9.7340168819672404E-4</v>
      </c>
      <c r="AM11" s="21">
        <v>-7.8108434594206408E-6</v>
      </c>
      <c r="AN11" s="18">
        <f t="shared" si="4"/>
        <v>2.6676978145855563</v>
      </c>
    </row>
    <row r="12" spans="1:40" x14ac:dyDescent="0.55000000000000004">
      <c r="A12" s="30" t="s">
        <v>66</v>
      </c>
      <c r="B12" s="34" t="str">
        <f ca="1">IF(AND($B$6&gt;=98,$B$6&lt;=280,$B$11&gt;0),IF(B49&lt;B56,"&lt;2.5",IF(B49&gt;B57,"&gt;97.5",TEXT(Z$3,"0.0")))&amp;"%","—")</f>
        <v>75.6%</v>
      </c>
      <c r="C12" s="18" t="s">
        <v>7</v>
      </c>
      <c r="D12" s="18">
        <v>0.75</v>
      </c>
      <c r="E12" s="23">
        <v>0.37678471235528499</v>
      </c>
      <c r="F12" s="23">
        <v>0.36197616276453498</v>
      </c>
      <c r="G12" s="23">
        <v>-4.6353594950495304E-3</v>
      </c>
      <c r="H12" s="23">
        <v>8.5132669354325606E-6</v>
      </c>
      <c r="I12" s="23">
        <v>1.04436638183705E-7</v>
      </c>
      <c r="J12" s="18" t="str">
        <f t="shared" si="5"/>
        <v/>
      </c>
      <c r="K12" s="20">
        <v>2.2077745192304801</v>
      </c>
      <c r="L12" s="21">
        <v>0.245212320927953</v>
      </c>
      <c r="M12" s="21">
        <v>-5.78557948587613E-3</v>
      </c>
      <c r="N12" s="21">
        <v>4.8397261879951397E-5</v>
      </c>
      <c r="O12" s="21">
        <v>0</v>
      </c>
      <c r="P12" s="22">
        <f t="shared" si="0"/>
        <v>4.6711765874236573</v>
      </c>
      <c r="Q12" s="21">
        <v>1.71452506914277</v>
      </c>
      <c r="R12" s="21">
        <v>0.28136706778676301</v>
      </c>
      <c r="S12" s="21">
        <v>-7.0819559650247103E-3</v>
      </c>
      <c r="T12" s="21">
        <v>6.7086230433840996E-5</v>
      </c>
      <c r="U12" s="21">
        <v>0</v>
      </c>
      <c r="V12" s="22">
        <f t="shared" si="1"/>
        <v>4.4843436361753559</v>
      </c>
      <c r="W12" s="21">
        <v>-4.6866698728266396</v>
      </c>
      <c r="X12" s="21">
        <v>0.97811179339816801</v>
      </c>
      <c r="Y12" s="21">
        <v>-4.3931906908382098E-2</v>
      </c>
      <c r="Z12" s="21">
        <v>9.2346644003072004E-4</v>
      </c>
      <c r="AA12" s="21">
        <v>-7.3942775854254401E-6</v>
      </c>
      <c r="AB12" s="22">
        <f t="shared" si="2"/>
        <v>2.7050149963140733</v>
      </c>
      <c r="AC12" s="21">
        <v>0.98329826540266596</v>
      </c>
      <c r="AD12" s="21">
        <v>0.23607111656757199</v>
      </c>
      <c r="AE12" s="21">
        <v>-5.4834808301281804E-3</v>
      </c>
      <c r="AF12" s="21">
        <v>4.5841965577341801E-5</v>
      </c>
      <c r="AG12" s="21">
        <v>0</v>
      </c>
      <c r="AH12" s="22">
        <f t="shared" si="3"/>
        <v>3.3703146522053893</v>
      </c>
      <c r="AI12" s="21">
        <v>-4.3140683823838</v>
      </c>
      <c r="AJ12" s="21">
        <v>0.94359503240863396</v>
      </c>
      <c r="AK12" s="21">
        <v>-4.2967382499427997E-2</v>
      </c>
      <c r="AL12" s="21">
        <v>9.0970672873115499E-4</v>
      </c>
      <c r="AM12" s="21">
        <v>-7.3111451831875901E-6</v>
      </c>
      <c r="AN12" s="18">
        <f t="shared" si="4"/>
        <v>2.7447083101184013</v>
      </c>
    </row>
    <row r="13" spans="1:40" x14ac:dyDescent="0.55000000000000004">
      <c r="A13" s="29" t="s">
        <v>68</v>
      </c>
      <c r="B13" s="32">
        <v>25</v>
      </c>
      <c r="C13" s="18" t="s">
        <v>7</v>
      </c>
      <c r="D13" s="18">
        <v>0.9</v>
      </c>
      <c r="E13" s="23">
        <v>0.286538459425835</v>
      </c>
      <c r="F13" s="23">
        <v>0.38704894529384898</v>
      </c>
      <c r="G13" s="23">
        <v>-6.0659243741675601E-3</v>
      </c>
      <c r="H13" s="23">
        <v>4.1933592307589301E-5</v>
      </c>
      <c r="I13" s="23">
        <v>-1.6439777150285501E-7</v>
      </c>
      <c r="J13" s="18" t="str">
        <f t="shared" si="5"/>
        <v/>
      </c>
      <c r="K13" s="20">
        <v>2.3177699972136399</v>
      </c>
      <c r="L13" s="21">
        <v>0.23665151020053801</v>
      </c>
      <c r="M13" s="21">
        <v>-5.5078128860892601E-3</v>
      </c>
      <c r="N13" s="21">
        <v>4.5397587934426701E-5</v>
      </c>
      <c r="O13" s="21">
        <v>0</v>
      </c>
      <c r="P13" s="22">
        <f t="shared" si="0"/>
        <v>4.7068164359407083</v>
      </c>
      <c r="Q13" s="21">
        <v>1.78078382317074</v>
      </c>
      <c r="R13" s="21">
        <v>0.27927889041478399</v>
      </c>
      <c r="S13" s="21">
        <v>-7.0643788983288996E-3</v>
      </c>
      <c r="T13" s="21">
        <v>6.7510454896935207E-5</v>
      </c>
      <c r="U13" s="21">
        <v>0</v>
      </c>
      <c r="V13" s="22">
        <f t="shared" si="1"/>
        <v>4.5255952530566379</v>
      </c>
      <c r="W13" s="21">
        <v>-4.3121959682552902</v>
      </c>
      <c r="X13" s="21">
        <v>0.94038705308254</v>
      </c>
      <c r="Y13" s="21">
        <v>-4.2470986752092703E-2</v>
      </c>
      <c r="Z13" s="21">
        <v>8.9977742409265004E-4</v>
      </c>
      <c r="AA13" s="21">
        <v>-7.2628465835045304E-6</v>
      </c>
      <c r="AB13" s="22">
        <f t="shared" si="2"/>
        <v>2.7751208727836008</v>
      </c>
      <c r="AC13" s="21">
        <v>1.01351909208103</v>
      </c>
      <c r="AD13" s="21">
        <v>0.23708885795350901</v>
      </c>
      <c r="AE13" s="21">
        <v>-5.5421492813894002E-3</v>
      </c>
      <c r="AF13" s="21">
        <v>4.6525835007629697E-5</v>
      </c>
      <c r="AG13" s="21">
        <v>0</v>
      </c>
      <c r="AH13" s="22">
        <f t="shared" si="3"/>
        <v>3.4050952776756089</v>
      </c>
      <c r="AI13" s="21">
        <v>-3.7048655699091202</v>
      </c>
      <c r="AJ13" s="21">
        <v>0.86055314135121996</v>
      </c>
      <c r="AK13" s="21">
        <v>-3.85250212654406E-2</v>
      </c>
      <c r="AL13" s="21">
        <v>8.0466635305927203E-4</v>
      </c>
      <c r="AM13" s="21">
        <v>-6.3896725175012997E-6</v>
      </c>
      <c r="AN13" s="18">
        <f t="shared" si="4"/>
        <v>2.8063413091297416</v>
      </c>
    </row>
    <row r="14" spans="1:40" x14ac:dyDescent="0.55000000000000004">
      <c r="A14" s="29" t="s">
        <v>67</v>
      </c>
      <c r="B14" s="34" t="str">
        <f ca="1">IF(AND($B$6&gt;=98,$B$6&lt;=280,$B$13&gt;0),IF(B58&lt;B65,"&lt;2.5",IF(B58&gt;B66,"&gt;97.5",TEXT(AF$3,"0.0")))&amp;"%","—")</f>
        <v>8.5%</v>
      </c>
      <c r="C14" s="18" t="s">
        <v>7</v>
      </c>
      <c r="D14" s="18">
        <v>0.95</v>
      </c>
      <c r="E14" s="23">
        <v>0.381320788764689</v>
      </c>
      <c r="F14" s="23">
        <v>0.37661369657535898</v>
      </c>
      <c r="G14" s="23">
        <v>-5.2811798237273203E-3</v>
      </c>
      <c r="H14" s="23">
        <v>1.81818929490566E-5</v>
      </c>
      <c r="I14" s="23">
        <v>7.6008557742340704E-8</v>
      </c>
      <c r="J14" s="18" t="str">
        <f t="shared" si="5"/>
        <v/>
      </c>
      <c r="K14" s="20">
        <v>2.3955010617649402</v>
      </c>
      <c r="L14" s="21">
        <v>0.22958666608206299</v>
      </c>
      <c r="M14" s="21">
        <v>-5.2531814163377499E-3</v>
      </c>
      <c r="N14" s="21">
        <v>4.2373893792484397E-5</v>
      </c>
      <c r="O14" s="21">
        <v>0</v>
      </c>
      <c r="P14" s="22">
        <f t="shared" si="0"/>
        <v>4.7267713342303761</v>
      </c>
      <c r="Q14" s="21">
        <v>1.83213806223649</v>
      </c>
      <c r="R14" s="21">
        <v>0.27710695299810201</v>
      </c>
      <c r="S14" s="21">
        <v>-7.0338854029193803E-3</v>
      </c>
      <c r="T14" s="21">
        <v>6.7612420096495801E-5</v>
      </c>
      <c r="U14" s="21">
        <v>0</v>
      </c>
      <c r="V14" s="22">
        <f t="shared" si="1"/>
        <v>4.5524422570108367</v>
      </c>
      <c r="W14" s="21">
        <v>-4.1239820755052499</v>
      </c>
      <c r="X14" s="21">
        <v>0.92034421080057105</v>
      </c>
      <c r="Y14" s="21">
        <v>-4.15728969581384E-2</v>
      </c>
      <c r="Z14" s="21">
        <v>8.8105551199540695E-4</v>
      </c>
      <c r="AA14" s="21">
        <v>-7.1084395962554698E-6</v>
      </c>
      <c r="AB14" s="22">
        <f t="shared" si="2"/>
        <v>2.8121402067797647</v>
      </c>
      <c r="AC14" s="21">
        <v>1.1140119268167801</v>
      </c>
      <c r="AD14" s="21">
        <v>0.22825845781418799</v>
      </c>
      <c r="AE14" s="21">
        <v>-5.2427105297010203E-3</v>
      </c>
      <c r="AF14" s="21">
        <v>4.3166569735920103E-5</v>
      </c>
      <c r="AG14" s="21">
        <v>0</v>
      </c>
      <c r="AH14" s="22">
        <f t="shared" si="3"/>
        <v>3.4307557220072904</v>
      </c>
      <c r="AI14" s="21">
        <v>-3.3449475448681398</v>
      </c>
      <c r="AJ14" s="21">
        <v>0.81313428520809095</v>
      </c>
      <c r="AK14" s="21">
        <v>-3.6120617189388297E-2</v>
      </c>
      <c r="AL14" s="21">
        <v>7.5192064331554905E-4</v>
      </c>
      <c r="AM14" s="21">
        <v>-5.9678520829936201E-6</v>
      </c>
      <c r="AN14" s="18">
        <f t="shared" si="4"/>
        <v>2.8433327908661776</v>
      </c>
    </row>
    <row r="15" spans="1:40" x14ac:dyDescent="0.55000000000000004">
      <c r="A15" s="30" t="s">
        <v>70</v>
      </c>
      <c r="B15" s="32">
        <v>15</v>
      </c>
      <c r="C15" s="18" t="s">
        <v>7</v>
      </c>
      <c r="D15" s="18">
        <v>0.97499999999999998</v>
      </c>
      <c r="E15" s="24">
        <v>0.32551154984357999</v>
      </c>
      <c r="F15" s="24">
        <v>0.40214557617585001</v>
      </c>
      <c r="G15" s="24">
        <v>-7.4145176202410996E-3</v>
      </c>
      <c r="H15" s="24">
        <v>8.8196644838897998E-5</v>
      </c>
      <c r="I15" s="24">
        <v>-7.1015932637436002E-7</v>
      </c>
      <c r="J15" s="25" t="str">
        <f t="shared" si="5"/>
        <v/>
      </c>
      <c r="K15" s="26">
        <v>2.5007406962942298</v>
      </c>
      <c r="L15" s="26">
        <v>0.22006785471571899</v>
      </c>
      <c r="M15" s="26">
        <v>-4.9362311146244299E-3</v>
      </c>
      <c r="N15" s="26">
        <v>3.8906600094651898E-5</v>
      </c>
      <c r="O15" s="26">
        <v>0</v>
      </c>
      <c r="P15" s="27">
        <f t="shared" si="0"/>
        <v>4.7506029673845056</v>
      </c>
      <c r="Q15" s="26">
        <v>2.03674472691951</v>
      </c>
      <c r="R15" s="26">
        <v>0.25713846181747402</v>
      </c>
      <c r="S15" s="26">
        <v>-6.3491878891422304E-3</v>
      </c>
      <c r="T15" s="26">
        <v>6.0053745113196E-5</v>
      </c>
      <c r="U15" s="26">
        <v>0</v>
      </c>
      <c r="V15" s="27">
        <f t="shared" si="1"/>
        <v>4.5894820167236512</v>
      </c>
      <c r="W15" s="26">
        <v>-3.6448393081180099</v>
      </c>
      <c r="X15" s="26">
        <v>0.85702813151498602</v>
      </c>
      <c r="Y15" s="26">
        <v>-3.8400568548130301E-2</v>
      </c>
      <c r="Z15" s="26">
        <v>8.1206278446152699E-4</v>
      </c>
      <c r="AA15" s="26">
        <v>-6.5593241699849798E-6</v>
      </c>
      <c r="AB15" s="27">
        <f t="shared" si="2"/>
        <v>2.855906855431714</v>
      </c>
      <c r="AC15" s="26">
        <v>1.1791743863464901</v>
      </c>
      <c r="AD15" s="26">
        <v>0.22424568690111499</v>
      </c>
      <c r="AE15" s="26">
        <v>-5.1363867869231097E-3</v>
      </c>
      <c r="AF15" s="26">
        <v>4.2140113878886498E-5</v>
      </c>
      <c r="AG15" s="26">
        <v>0</v>
      </c>
      <c r="AH15" s="27">
        <f t="shared" si="3"/>
        <v>3.4572990299928286</v>
      </c>
      <c r="AI15" s="26">
        <v>-3.5470372149288698</v>
      </c>
      <c r="AJ15" s="26">
        <v>0.851835316341919</v>
      </c>
      <c r="AK15" s="26">
        <v>-3.8521054430755798E-2</v>
      </c>
      <c r="AL15" s="26">
        <v>8.15301857140939E-4</v>
      </c>
      <c r="AM15" s="26">
        <v>-6.5766212677869902E-6</v>
      </c>
      <c r="AN15" s="25">
        <f t="shared" si="4"/>
        <v>2.8636598968005327</v>
      </c>
    </row>
    <row r="16" spans="1:40" x14ac:dyDescent="0.55000000000000004">
      <c r="A16" s="30" t="s">
        <v>71</v>
      </c>
      <c r="B16" s="34" t="str">
        <f ca="1">IF(AND($B$6&gt;=98,$B$6&lt;=280,$B$15&gt;0),IF(B67&lt;B74,"&lt;2.5",IF(B67&gt;B75,"&gt;97.5",TEXT(AL$3,"0.0")))&amp;"%","—")</f>
        <v>63.1%</v>
      </c>
      <c r="C16" s="18" t="s">
        <v>8</v>
      </c>
      <c r="D16" s="18">
        <v>2.5000000000000001E-2</v>
      </c>
      <c r="E16" s="23">
        <v>-0.52610096513853999</v>
      </c>
      <c r="F16" s="23">
        <v>0.44906549056953998</v>
      </c>
      <c r="G16" s="23">
        <v>-8.9009550762547997E-3</v>
      </c>
      <c r="H16" s="23">
        <v>9.8682935239189994E-5</v>
      </c>
      <c r="I16" s="23">
        <v>-6.1862373692705005E-7</v>
      </c>
      <c r="J16" s="18" t="str">
        <f t="shared" si="5"/>
        <v/>
      </c>
    </row>
    <row r="17" spans="1:10" x14ac:dyDescent="0.55000000000000004">
      <c r="A17" s="30" t="s">
        <v>109</v>
      </c>
      <c r="B17" s="36">
        <f>IF(AND(B7&gt;0,B9&gt;0,B11&gt;0),10^(1.326-0.0000326*B9*B11+0.00107*B7+0.00438*B9+0.0158*B11),"—")</f>
        <v>109.55822816672729</v>
      </c>
      <c r="C17" s="18" t="s">
        <v>8</v>
      </c>
      <c r="D17" s="18">
        <v>0.05</v>
      </c>
      <c r="E17" s="23">
        <v>-0.26456235340346501</v>
      </c>
      <c r="F17" s="23">
        <v>0.41221070166284801</v>
      </c>
      <c r="G17" s="23">
        <v>-6.5935396669867504E-3</v>
      </c>
      <c r="H17" s="23">
        <v>3.8708541479340298E-5</v>
      </c>
      <c r="I17" s="23">
        <v>-5.92167006518022E-8</v>
      </c>
      <c r="J17" s="18" t="str">
        <f t="shared" si="5"/>
        <v/>
      </c>
    </row>
    <row r="18" spans="1:10" x14ac:dyDescent="0.55000000000000004">
      <c r="A18" s="31" t="s">
        <v>111</v>
      </c>
      <c r="B18" s="36" t="str">
        <f ca="1">IF(AND($B$6&gt;=98,$B$6&lt;=280,$B$7&gt;0,$B$9&gt;0,$B$11&gt;0,ISTEXT($B$2)),IF(B22&lt;B29,"&lt;2.5",IF(B22&gt;B30,"&gt;97.5",TEXT(G$3,"0.0")))&amp;"%","—")</f>
        <v>85.7%</v>
      </c>
      <c r="C18" s="18" t="s">
        <v>8</v>
      </c>
      <c r="D18" s="18">
        <v>0.1</v>
      </c>
      <c r="E18" s="23">
        <v>-6.3102522665740707E-2</v>
      </c>
      <c r="F18" s="23">
        <v>0.390993877846881</v>
      </c>
      <c r="G18" s="23">
        <v>-5.6076418900138101E-3</v>
      </c>
      <c r="H18" s="23">
        <v>1.9094462789552401E-5</v>
      </c>
      <c r="I18" s="23">
        <v>8.8424180369290499E-8</v>
      </c>
      <c r="J18" s="18" t="str">
        <f t="shared" si="5"/>
        <v/>
      </c>
    </row>
    <row r="19" spans="1:10" x14ac:dyDescent="0.55000000000000004">
      <c r="A19" s="16" t="s">
        <v>13</v>
      </c>
      <c r="B19" s="13">
        <f>ROUNDDOWN((B4-B3)/7,0)</f>
        <v>14</v>
      </c>
      <c r="C19" s="18" t="s">
        <v>8</v>
      </c>
      <c r="D19" s="18">
        <v>0.25</v>
      </c>
      <c r="E19" s="23">
        <v>-0.13687292073767801</v>
      </c>
      <c r="F19" s="23">
        <v>0.41138547121229102</v>
      </c>
      <c r="G19" s="23">
        <v>-6.6271045705352796E-3</v>
      </c>
      <c r="H19" s="23">
        <v>4.0107896710419101E-5</v>
      </c>
      <c r="I19" s="23">
        <v>-6.0926654486933899E-8</v>
      </c>
      <c r="J19" s="18" t="str">
        <f t="shared" si="5"/>
        <v/>
      </c>
    </row>
    <row r="20" spans="1:10" x14ac:dyDescent="0.55000000000000004">
      <c r="A20" s="16" t="s">
        <v>17</v>
      </c>
      <c r="B20" s="13">
        <f>ROUND(((B4-B3)/7-ROUNDDOWN((B4-B3)/7,0))*7,0)</f>
        <v>2</v>
      </c>
      <c r="C20" s="18" t="s">
        <v>8</v>
      </c>
      <c r="D20" s="18">
        <v>0.5</v>
      </c>
      <c r="E20" s="23">
        <v>0.222999048464601</v>
      </c>
      <c r="F20" s="23">
        <v>0.37288883020087099</v>
      </c>
      <c r="G20" s="23">
        <v>-4.82835487505679E-3</v>
      </c>
      <c r="H20" s="23">
        <v>5.3892793555708604E-6</v>
      </c>
      <c r="I20" s="23">
        <v>1.7263024781194699E-7</v>
      </c>
      <c r="J20" s="18" t="str">
        <f t="shared" si="5"/>
        <v/>
      </c>
    </row>
    <row r="21" spans="1:10" x14ac:dyDescent="0.55000000000000004">
      <c r="A21" s="16" t="s">
        <v>15</v>
      </c>
      <c r="B21" s="13">
        <f>IF(AND((B4-B3)/7&gt;=14,(B4-B3)/7&lt;=40),ROUND((B4-B3)/7,5),"")</f>
        <v>14.28571</v>
      </c>
      <c r="C21" s="18" t="s">
        <v>8</v>
      </c>
      <c r="D21" s="18">
        <v>0.75</v>
      </c>
      <c r="E21" s="23">
        <v>0.27456872669184701</v>
      </c>
      <c r="F21" s="23">
        <v>0.38123166255457602</v>
      </c>
      <c r="G21" s="23">
        <v>-5.5724889030972901E-3</v>
      </c>
      <c r="H21" s="23">
        <v>2.9349349951380001E-5</v>
      </c>
      <c r="I21" s="23">
        <v>-8.2762880979013597E-8</v>
      </c>
      <c r="J21" s="18" t="str">
        <f t="shared" si="5"/>
        <v/>
      </c>
    </row>
    <row r="22" spans="1:10" x14ac:dyDescent="0.55000000000000004">
      <c r="A22" s="16" t="s">
        <v>79</v>
      </c>
      <c r="B22" s="13">
        <f>LN(B17)</f>
        <v>4.6964561719998414</v>
      </c>
      <c r="C22" s="18" t="s">
        <v>8</v>
      </c>
      <c r="D22" s="18">
        <v>0.9</v>
      </c>
      <c r="E22" s="23">
        <v>0.24021369712795701</v>
      </c>
      <c r="F22" s="23">
        <v>0.39117849473444499</v>
      </c>
      <c r="G22" s="23">
        <v>-5.7953870671398197E-3</v>
      </c>
      <c r="H22" s="23">
        <v>2.75733050639858E-5</v>
      </c>
      <c r="I22" s="23">
        <v>-1.9097077227714899E-8</v>
      </c>
      <c r="J22" s="18" t="str">
        <f t="shared" si="5"/>
        <v/>
      </c>
    </row>
    <row r="23" spans="1:10" x14ac:dyDescent="0.55000000000000004">
      <c r="A23" s="16" t="s">
        <v>25</v>
      </c>
      <c r="B23" s="13">
        <f>MATCH(B22,J7:J33)+6</f>
        <v>30</v>
      </c>
      <c r="C23" s="18" t="s">
        <v>8</v>
      </c>
      <c r="D23" s="18">
        <v>0.95</v>
      </c>
      <c r="E23" s="23">
        <v>0.23808092003893699</v>
      </c>
      <c r="F23" s="23">
        <v>0.394765675971259</v>
      </c>
      <c r="G23" s="23">
        <v>-5.8126749139917402E-3</v>
      </c>
      <c r="H23" s="23">
        <v>2.3153166957457201E-5</v>
      </c>
      <c r="I23" s="23">
        <v>6.8534526867119102E-8</v>
      </c>
      <c r="J23" s="18" t="str">
        <f t="shared" si="5"/>
        <v/>
      </c>
    </row>
    <row r="24" spans="1:10" x14ac:dyDescent="0.55000000000000004">
      <c r="A24" s="16" t="s">
        <v>26</v>
      </c>
      <c r="B24" s="13">
        <f ca="1">INDIRECT(ADDRESS(B23,10,4,TRUE))</f>
        <v>4.6496527082570491</v>
      </c>
      <c r="C24" s="18" t="s">
        <v>8</v>
      </c>
      <c r="D24" s="18">
        <v>0.97499999999999998</v>
      </c>
      <c r="E24" s="24">
        <v>0.79018076483077004</v>
      </c>
      <c r="F24" s="24">
        <v>0.32585025131140999</v>
      </c>
      <c r="G24" s="24">
        <v>-2.5559098706068998E-3</v>
      </c>
      <c r="H24" s="24">
        <v>-4.2038969571238E-5</v>
      </c>
      <c r="I24" s="24">
        <v>5.4228420412732998E-7</v>
      </c>
      <c r="J24" s="25" t="str">
        <f t="shared" si="5"/>
        <v/>
      </c>
    </row>
    <row r="25" spans="1:10" x14ac:dyDescent="0.55000000000000004">
      <c r="A25" s="13" t="s">
        <v>27</v>
      </c>
      <c r="B25" s="13">
        <f ca="1">INDIRECT(ADDRESS(B23,4,4,TRUE))*100</f>
        <v>75</v>
      </c>
      <c r="C25" s="18" t="s">
        <v>9</v>
      </c>
      <c r="D25" s="18">
        <v>2.5000000000000001E-2</v>
      </c>
      <c r="E25" s="23">
        <v>-0.23051838301459199</v>
      </c>
      <c r="F25" s="23">
        <v>0.40051111631845798</v>
      </c>
      <c r="G25" s="23">
        <v>-6.1799323583326699E-3</v>
      </c>
      <c r="H25" s="23">
        <v>3.1659576297264897E-5</v>
      </c>
      <c r="I25" s="23">
        <v>0</v>
      </c>
      <c r="J25" s="18">
        <f t="shared" si="5"/>
        <v>4.3221592364798438</v>
      </c>
    </row>
    <row r="26" spans="1:10" x14ac:dyDescent="0.55000000000000004">
      <c r="A26" s="16" t="s">
        <v>28</v>
      </c>
      <c r="B26" s="13">
        <f ca="1">IF(B25=97.5,B23,B23+1)</f>
        <v>31</v>
      </c>
      <c r="C26" s="18" t="s">
        <v>9</v>
      </c>
      <c r="D26" s="18">
        <v>0.05</v>
      </c>
      <c r="E26" s="23">
        <v>-0.16205710355789801</v>
      </c>
      <c r="F26" s="23">
        <v>0.393965369913166</v>
      </c>
      <c r="G26" s="23">
        <v>-5.7973305642217204E-3</v>
      </c>
      <c r="H26" s="23">
        <v>2.5531912823908699E-5</v>
      </c>
      <c r="I26" s="23">
        <v>0</v>
      </c>
      <c r="J26" s="18">
        <f t="shared" si="5"/>
        <v>4.3573269409987798</v>
      </c>
    </row>
    <row r="27" spans="1:10" x14ac:dyDescent="0.55000000000000004">
      <c r="A27" s="16" t="s">
        <v>29</v>
      </c>
      <c r="B27" s="13">
        <f ca="1">INDIRECT(ADDRESS(B26,10,4,TRUE))</f>
        <v>4.7150701966371811</v>
      </c>
      <c r="C27" s="18" t="s">
        <v>9</v>
      </c>
      <c r="D27" s="18">
        <v>0.1</v>
      </c>
      <c r="E27" s="23">
        <v>-4.55887642525626E-2</v>
      </c>
      <c r="F27" s="23">
        <v>0.38931405208216402</v>
      </c>
      <c r="G27" s="23">
        <v>-5.7452767406264097E-3</v>
      </c>
      <c r="H27" s="23">
        <v>2.6555789106433299E-5</v>
      </c>
      <c r="I27" s="23">
        <v>0</v>
      </c>
      <c r="J27" s="18">
        <f t="shared" si="5"/>
        <v>4.4209561849454415</v>
      </c>
    </row>
    <row r="28" spans="1:10" x14ac:dyDescent="0.55000000000000004">
      <c r="A28" s="13" t="s">
        <v>30</v>
      </c>
      <c r="B28" s="13">
        <f ca="1">INDIRECT(ADDRESS(B26,4,4,TRUE))*100</f>
        <v>90</v>
      </c>
      <c r="C28" s="18" t="s">
        <v>9</v>
      </c>
      <c r="D28" s="18">
        <v>0.25</v>
      </c>
      <c r="E28" s="23">
        <v>-1.2258767992062001E-2</v>
      </c>
      <c r="F28" s="23">
        <v>0.393836404898322</v>
      </c>
      <c r="G28" s="23">
        <v>-5.9230488551955101E-3</v>
      </c>
      <c r="H28" s="23">
        <v>2.8863017896588001E-5</v>
      </c>
      <c r="I28" s="23">
        <v>0</v>
      </c>
      <c r="J28" s="18">
        <f t="shared" si="5"/>
        <v>4.4893378089364253</v>
      </c>
    </row>
    <row r="29" spans="1:10" x14ac:dyDescent="0.55000000000000004">
      <c r="A29" s="13" t="s">
        <v>31</v>
      </c>
      <c r="B29" s="13" cm="1">
        <f t="array" aca="1" ref="B29" ca="1">IF($B$2="M",INDIRECT(ADDRESS(16,10,4,TRUE)),IF($B$2="F",INDIRECT(ADDRESS(7,10,4,TRUE)),INDIRECT(ADDRESS(25,10,4,TRUE))))</f>
        <v>4.3221592364798438</v>
      </c>
      <c r="C29" s="18" t="s">
        <v>9</v>
      </c>
      <c r="D29" s="18">
        <v>0.5</v>
      </c>
      <c r="E29" s="23">
        <v>0.157310086966445</v>
      </c>
      <c r="F29" s="23">
        <v>0.383067935520509</v>
      </c>
      <c r="G29" s="23">
        <v>-5.5404684663996296E-3</v>
      </c>
      <c r="H29" s="23">
        <v>2.46570062800598E-5</v>
      </c>
      <c r="I29" s="23">
        <v>0</v>
      </c>
      <c r="J29" s="18">
        <f t="shared" si="5"/>
        <v>4.5708866032377449</v>
      </c>
    </row>
    <row r="30" spans="1:10" x14ac:dyDescent="0.55000000000000004">
      <c r="A30" s="13" t="s">
        <v>32</v>
      </c>
      <c r="B30" s="13" cm="1">
        <f t="array" aca="1" ref="B30" ca="1">IF($B$2="M",INDIRECT(ADDRESS(24,10,4,TRUE)),IF($B$2="F",INDIRECT(ADDRESS(15,10,4,TRUE)),INDIRECT(ADDRESS(33,10,4,TRUE))))</f>
        <v>4.7996151130306766</v>
      </c>
      <c r="C30" s="18" t="s">
        <v>9</v>
      </c>
      <c r="D30" s="18">
        <v>0.75</v>
      </c>
      <c r="E30" s="23">
        <v>0.29329738642691899</v>
      </c>
      <c r="F30" s="23">
        <v>0.37609622921041203</v>
      </c>
      <c r="G30" s="23">
        <v>-5.2925503611372599E-3</v>
      </c>
      <c r="H30" s="23">
        <v>2.1837227764198101E-5</v>
      </c>
      <c r="I30" s="23">
        <v>0</v>
      </c>
      <c r="J30" s="18">
        <f t="shared" si="5"/>
        <v>4.6496527082570491</v>
      </c>
    </row>
    <row r="31" spans="1:10" x14ac:dyDescent="0.55000000000000004">
      <c r="A31" s="16" t="s">
        <v>84</v>
      </c>
      <c r="B31" s="13">
        <f>LN(B7)</f>
        <v>4.6051701859880918</v>
      </c>
      <c r="C31" s="18" t="s">
        <v>9</v>
      </c>
      <c r="D31" s="18">
        <v>0.9</v>
      </c>
      <c r="E31" s="23">
        <v>0.35314222749007301</v>
      </c>
      <c r="F31" s="23">
        <v>0.37648687447020601</v>
      </c>
      <c r="G31" s="23">
        <v>-5.28742945785833E-3</v>
      </c>
      <c r="H31" s="23">
        <v>2.14760212556463E-5</v>
      </c>
      <c r="I31" s="23">
        <v>0</v>
      </c>
      <c r="J31" s="18">
        <f t="shared" si="5"/>
        <v>4.7150701966371811</v>
      </c>
    </row>
    <row r="32" spans="1:10" x14ac:dyDescent="0.55000000000000004">
      <c r="A32" s="16" t="s">
        <v>85</v>
      </c>
      <c r="B32" s="13">
        <f>MATCH(B31,P$7:P$15)+6</f>
        <v>10</v>
      </c>
      <c r="C32" s="18" t="s">
        <v>9</v>
      </c>
      <c r="D32" s="18">
        <v>0.95</v>
      </c>
      <c r="E32" s="23">
        <v>0.28502505596891398</v>
      </c>
      <c r="F32" s="23">
        <v>0.39062147229937799</v>
      </c>
      <c r="G32" s="23">
        <v>-5.8292918240299496E-3</v>
      </c>
      <c r="H32" s="23">
        <v>2.79088693116937E-5</v>
      </c>
      <c r="I32" s="23">
        <v>0</v>
      </c>
      <c r="J32" s="18">
        <f t="shared" si="5"/>
        <v>4.7570463428354746</v>
      </c>
    </row>
    <row r="33" spans="1:10" x14ac:dyDescent="0.55000000000000004">
      <c r="A33" s="16" t="s">
        <v>86</v>
      </c>
      <c r="B33" s="13">
        <f ca="1">INDIRECT(ADDRESS(B32,16,4,TRUE))</f>
        <v>4.5859106468731055</v>
      </c>
      <c r="C33" s="25" t="s">
        <v>9</v>
      </c>
      <c r="D33" s="25">
        <v>0.97499999999999998</v>
      </c>
      <c r="E33" s="24">
        <v>0.40817059488937202</v>
      </c>
      <c r="F33" s="24">
        <v>0.38106821466434199</v>
      </c>
      <c r="G33" s="24">
        <v>-5.5091392274360298E-3</v>
      </c>
      <c r="H33" s="24">
        <v>2.4671314778353199E-5</v>
      </c>
      <c r="I33" s="24">
        <v>0</v>
      </c>
      <c r="J33" s="25">
        <f t="shared" si="5"/>
        <v>4.7996151130306766</v>
      </c>
    </row>
    <row r="34" spans="1:10" x14ac:dyDescent="0.55000000000000004">
      <c r="A34" s="13" t="s">
        <v>87</v>
      </c>
      <c r="B34" s="13">
        <f ca="1">INDIRECT(ADDRESS(B32,4,4,TRUE))*100</f>
        <v>25</v>
      </c>
    </row>
    <row r="35" spans="1:10" x14ac:dyDescent="0.55000000000000004">
      <c r="A35" s="16" t="s">
        <v>88</v>
      </c>
      <c r="B35" s="13">
        <f ca="1">IF(B34=99,B32,B32+1)</f>
        <v>11</v>
      </c>
    </row>
    <row r="36" spans="1:10" x14ac:dyDescent="0.55000000000000004">
      <c r="A36" s="16" t="s">
        <v>89</v>
      </c>
      <c r="B36" s="13">
        <f ca="1">INDIRECT(ADDRESS(B35,16,4,TRUE))</f>
        <v>4.6327849034935449</v>
      </c>
    </row>
    <row r="37" spans="1:10" x14ac:dyDescent="0.55000000000000004">
      <c r="A37" s="13" t="s">
        <v>90</v>
      </c>
      <c r="B37" s="13">
        <f ca="1">INDIRECT(ADDRESS(B35,4,4,TRUE))*100</f>
        <v>50</v>
      </c>
    </row>
    <row r="38" spans="1:10" x14ac:dyDescent="0.55000000000000004">
      <c r="A38" s="13" t="s">
        <v>91</v>
      </c>
      <c r="B38" s="13" cm="1">
        <f t="array" aca="1" ref="B38" ca="1">INDIRECT(ADDRESS(7,16,4,TRUE))</f>
        <v>4.4858941630141294</v>
      </c>
    </row>
    <row r="39" spans="1:10" x14ac:dyDescent="0.55000000000000004">
      <c r="A39" s="13" t="s">
        <v>92</v>
      </c>
      <c r="B39" s="13" cm="1">
        <f t="array" aca="1" ref="B39" ca="1">INDIRECT(ADDRESS(15,16,4,TRUE))</f>
        <v>4.7506029673845056</v>
      </c>
    </row>
    <row r="40" spans="1:10" x14ac:dyDescent="0.55000000000000004">
      <c r="A40" s="13" t="s">
        <v>80</v>
      </c>
      <c r="B40" s="13">
        <f>LN(B9)</f>
        <v>4.5538768916005408</v>
      </c>
    </row>
    <row r="41" spans="1:10" x14ac:dyDescent="0.55000000000000004">
      <c r="A41" s="16" t="s">
        <v>33</v>
      </c>
      <c r="B41" s="13">
        <f>MATCH(B40,V$7:V$15)+6</f>
        <v>14</v>
      </c>
    </row>
    <row r="42" spans="1:10" x14ac:dyDescent="0.55000000000000004">
      <c r="A42" s="16" t="s">
        <v>34</v>
      </c>
      <c r="B42" s="13">
        <f ca="1">INDIRECT(ADDRESS(B41,22,4,TRUE))</f>
        <v>4.5524422570108367</v>
      </c>
    </row>
    <row r="43" spans="1:10" x14ac:dyDescent="0.55000000000000004">
      <c r="A43" s="13" t="s">
        <v>35</v>
      </c>
      <c r="B43" s="13">
        <f ca="1">INDIRECT(ADDRESS(B41,4,4,TRUE))*100</f>
        <v>95</v>
      </c>
    </row>
    <row r="44" spans="1:10" x14ac:dyDescent="0.55000000000000004">
      <c r="A44" s="16" t="s">
        <v>36</v>
      </c>
      <c r="B44" s="13">
        <f ca="1">IF(B43=99,B41,B41+1)</f>
        <v>15</v>
      </c>
    </row>
    <row r="45" spans="1:10" x14ac:dyDescent="0.55000000000000004">
      <c r="A45" s="16" t="s">
        <v>37</v>
      </c>
      <c r="B45" s="13">
        <f ca="1">INDIRECT(ADDRESS(B44,22,4,TRUE))</f>
        <v>4.5894820167236512</v>
      </c>
    </row>
    <row r="46" spans="1:10" x14ac:dyDescent="0.55000000000000004">
      <c r="A46" s="13" t="s">
        <v>38</v>
      </c>
      <c r="B46" s="13">
        <f ca="1">INDIRECT(ADDRESS(B44,4,4,TRUE))*100</f>
        <v>97.5</v>
      </c>
    </row>
    <row r="47" spans="1:10" x14ac:dyDescent="0.55000000000000004">
      <c r="A47" s="13" t="s">
        <v>39</v>
      </c>
      <c r="B47" s="13" cm="1">
        <f t="array" aca="1" ref="B47" ca="1">INDIRECT(ADDRESS(7,22,4,TRUE))</f>
        <v>4.2717369134401499</v>
      </c>
    </row>
    <row r="48" spans="1:10" x14ac:dyDescent="0.55000000000000004">
      <c r="A48" s="13" t="s">
        <v>40</v>
      </c>
      <c r="B48" s="13" cm="1">
        <f t="array" aca="1" ref="B48" ca="1">INDIRECT(ADDRESS(15,22,4,TRUE))</f>
        <v>4.5894820167236512</v>
      </c>
    </row>
    <row r="49" spans="1:2" x14ac:dyDescent="0.55000000000000004">
      <c r="A49" s="13" t="s">
        <v>81</v>
      </c>
      <c r="B49" s="13">
        <f>LN(B11)</f>
        <v>2.7080502011022101</v>
      </c>
    </row>
    <row r="50" spans="1:2" x14ac:dyDescent="0.55000000000000004">
      <c r="A50" s="16" t="s">
        <v>41</v>
      </c>
      <c r="B50" s="13">
        <f>MATCH(B49,AB$7:AB$15)+6</f>
        <v>12</v>
      </c>
    </row>
    <row r="51" spans="1:2" x14ac:dyDescent="0.55000000000000004">
      <c r="A51" s="16" t="s">
        <v>42</v>
      </c>
      <c r="B51" s="13">
        <f ca="1">INDIRECT(ADDRESS(B50,28,4,TRUE))</f>
        <v>2.7050149963140733</v>
      </c>
    </row>
    <row r="52" spans="1:2" x14ac:dyDescent="0.55000000000000004">
      <c r="A52" s="13" t="s">
        <v>43</v>
      </c>
      <c r="B52" s="13">
        <f ca="1">INDIRECT(ADDRESS(B50,4,4,TRUE))*100</f>
        <v>75</v>
      </c>
    </row>
    <row r="53" spans="1:2" x14ac:dyDescent="0.55000000000000004">
      <c r="A53" s="16" t="s">
        <v>44</v>
      </c>
      <c r="B53" s="13">
        <f ca="1">IF(B52=99,B50,B50+1)</f>
        <v>13</v>
      </c>
    </row>
    <row r="54" spans="1:2" x14ac:dyDescent="0.55000000000000004">
      <c r="A54" s="16" t="s">
        <v>45</v>
      </c>
      <c r="B54" s="13">
        <f ca="1">INDIRECT(ADDRESS(B53,28,4,TRUE))</f>
        <v>2.7751208727836008</v>
      </c>
    </row>
    <row r="55" spans="1:2" x14ac:dyDescent="0.55000000000000004">
      <c r="A55" s="13" t="s">
        <v>46</v>
      </c>
      <c r="B55" s="13">
        <f ca="1">INDIRECT(ADDRESS(B53,4,4,TRUE))*100</f>
        <v>90</v>
      </c>
    </row>
    <row r="56" spans="1:2" x14ac:dyDescent="0.55000000000000004">
      <c r="A56" s="13" t="s">
        <v>47</v>
      </c>
      <c r="B56" s="13" cm="1">
        <f t="array" aca="1" ref="B56" ca="1">INDIRECT(ADDRESS(7,28,4,TRUE))</f>
        <v>2.3444831295512434</v>
      </c>
    </row>
    <row r="57" spans="1:2" x14ac:dyDescent="0.55000000000000004">
      <c r="A57" s="13" t="s">
        <v>48</v>
      </c>
      <c r="B57" s="13" cm="1">
        <f t="array" aca="1" ref="B57" ca="1">INDIRECT(ADDRESS(15,28,4,TRUE))</f>
        <v>2.855906855431714</v>
      </c>
    </row>
    <row r="58" spans="1:2" x14ac:dyDescent="0.55000000000000004">
      <c r="A58" s="13" t="s">
        <v>82</v>
      </c>
      <c r="B58" s="13">
        <f>LN(B13)</f>
        <v>3.2188758248682006</v>
      </c>
    </row>
    <row r="59" spans="1:2" x14ac:dyDescent="0.55000000000000004">
      <c r="A59" s="16" t="s">
        <v>49</v>
      </c>
      <c r="B59" s="13">
        <f>MATCH(B58,AH$7:AH$15)+6</f>
        <v>8</v>
      </c>
    </row>
    <row r="60" spans="1:2" x14ac:dyDescent="0.55000000000000004">
      <c r="A60" s="16" t="s">
        <v>50</v>
      </c>
      <c r="B60" s="13">
        <f ca="1">INDIRECT(ADDRESS(B59,34,4,TRUE))</f>
        <v>3.1986726257154983</v>
      </c>
    </row>
    <row r="61" spans="1:2" x14ac:dyDescent="0.55000000000000004">
      <c r="A61" s="13" t="s">
        <v>51</v>
      </c>
      <c r="B61" s="13">
        <f ca="1">INDIRECT(ADDRESS(B59,4,4,TRUE))*100</f>
        <v>5</v>
      </c>
    </row>
    <row r="62" spans="1:2" x14ac:dyDescent="0.55000000000000004">
      <c r="A62" s="16" t="s">
        <v>52</v>
      </c>
      <c r="B62" s="13">
        <f ca="1">IF(B61=99,B59,B59+1)</f>
        <v>9</v>
      </c>
    </row>
    <row r="63" spans="1:2" x14ac:dyDescent="0.55000000000000004">
      <c r="A63" s="16" t="s">
        <v>53</v>
      </c>
      <c r="B63" s="13">
        <f ca="1">INDIRECT(ADDRESS(B62,34,4,TRUE))</f>
        <v>3.2274825164650842</v>
      </c>
    </row>
    <row r="64" spans="1:2" x14ac:dyDescent="0.55000000000000004">
      <c r="A64" s="13" t="s">
        <v>54</v>
      </c>
      <c r="B64" s="13">
        <f ca="1">INDIRECT(ADDRESS(B62,4,4,TRUE))*100</f>
        <v>10</v>
      </c>
    </row>
    <row r="65" spans="1:2" x14ac:dyDescent="0.55000000000000004">
      <c r="A65" s="13" t="s">
        <v>55</v>
      </c>
      <c r="B65" s="13" cm="1">
        <f t="array" aca="1" ref="B65" ca="1">INDIRECT(ADDRESS(7,34,4,TRUE))</f>
        <v>3.1740498594322712</v>
      </c>
    </row>
    <row r="66" spans="1:2" x14ac:dyDescent="0.55000000000000004">
      <c r="A66" s="13" t="s">
        <v>56</v>
      </c>
      <c r="B66" s="13" cm="1">
        <f t="array" aca="1" ref="B66" ca="1">INDIRECT(ADDRESS(15,34,4,TRUE))</f>
        <v>3.4572990299928286</v>
      </c>
    </row>
    <row r="67" spans="1:2" x14ac:dyDescent="0.55000000000000004">
      <c r="A67" s="13" t="s">
        <v>83</v>
      </c>
      <c r="B67" s="13">
        <f>LN(B15)</f>
        <v>2.7080502011022101</v>
      </c>
    </row>
    <row r="68" spans="1:2" x14ac:dyDescent="0.55000000000000004">
      <c r="A68" s="16" t="s">
        <v>57</v>
      </c>
      <c r="B68" s="13">
        <f>MATCH(B67,AN$7:AN$15)+6</f>
        <v>11</v>
      </c>
    </row>
    <row r="69" spans="1:2" x14ac:dyDescent="0.55000000000000004">
      <c r="A69" s="16" t="s">
        <v>58</v>
      </c>
      <c r="B69" s="13">
        <f ca="1">INDIRECT(ADDRESS(B68,40,4,TRUE))</f>
        <v>2.6676978145855563</v>
      </c>
    </row>
    <row r="70" spans="1:2" x14ac:dyDescent="0.55000000000000004">
      <c r="A70" s="13" t="s">
        <v>59</v>
      </c>
      <c r="B70" s="13">
        <f ca="1">INDIRECT(ADDRESS(B68,4,4,TRUE))*100</f>
        <v>50</v>
      </c>
    </row>
    <row r="71" spans="1:2" x14ac:dyDescent="0.55000000000000004">
      <c r="A71" s="16" t="s">
        <v>60</v>
      </c>
      <c r="B71" s="13">
        <f ca="1">IF(B70=99,B68,B68+1)</f>
        <v>12</v>
      </c>
    </row>
    <row r="72" spans="1:2" x14ac:dyDescent="0.55000000000000004">
      <c r="A72" s="16" t="s">
        <v>61</v>
      </c>
      <c r="B72" s="13">
        <f ca="1">INDIRECT(ADDRESS(B71,40,4,TRUE))</f>
        <v>2.7447083101184013</v>
      </c>
    </row>
    <row r="73" spans="1:2" x14ac:dyDescent="0.55000000000000004">
      <c r="A73" s="13" t="s">
        <v>62</v>
      </c>
      <c r="B73" s="13">
        <f ca="1">INDIRECT(ADDRESS(B71,4,4,TRUE))*100</f>
        <v>75</v>
      </c>
    </row>
    <row r="74" spans="1:2" x14ac:dyDescent="0.55000000000000004">
      <c r="A74" s="13" t="s">
        <v>63</v>
      </c>
      <c r="B74" s="13" cm="1">
        <f t="array" aca="1" ref="B74" ca="1">INDIRECT(ADDRESS(7,40,4,TRUE))</f>
        <v>2.386663164685225</v>
      </c>
    </row>
    <row r="75" spans="1:2" x14ac:dyDescent="0.55000000000000004">
      <c r="A75" s="13" t="s">
        <v>64</v>
      </c>
      <c r="B75" s="13" cm="1">
        <f t="array" aca="1" ref="B75" ca="1">INDIRECT(ADDRESS(15,40,4,TRUE))</f>
        <v>2.8636598968005327</v>
      </c>
    </row>
  </sheetData>
  <sheetProtection algorithmName="SHA-512" hashValue="/bk/JQhOdytXxU2gaOuStPP41UBvQuTMHzC8NjXiubavbEB5IsW9YNTYKb5/w7aQeyE2x0fLVKlGHZ9sREMhPQ==" saltValue="gJAhb5Z/0jtuZ3cnI6bJug==" spinCount="100000" sheet="1" selectLockedCells="1"/>
  <mergeCells count="8">
    <mergeCell ref="AI5:AN5"/>
    <mergeCell ref="A1:B1"/>
    <mergeCell ref="E5:J5"/>
    <mergeCell ref="K5:P5"/>
    <mergeCell ref="Q5:V5"/>
    <mergeCell ref="W5:AB5"/>
    <mergeCell ref="AC5:AH5"/>
    <mergeCell ref="C4:H4"/>
  </mergeCells>
  <conditionalFormatting sqref="B5:B6">
    <cfRule type="expression" dxfId="0" priority="4">
      <formula>OR($B$6&lt;98,$B$6&gt;280)</formula>
    </cfRule>
  </conditionalFormatting>
  <dataValidations count="3">
    <dataValidation type="list" allowBlank="1" showInputMessage="1" showErrorMessage="1" sqref="B2" xr:uid="{2D18C06A-7305-42A0-8BD2-D792191048C3}">
      <formula1>Sex</formula1>
    </dataValidation>
    <dataValidation type="custom" allowBlank="1" showErrorMessage="1" errorTitle="CHECK DATES!" error="Can only do calculations for gestational ages 14–40 weeks!" promptTitle="Enter a valid date!" sqref="B3:B4" xr:uid="{EE22D10D-F0B1-45AF-A73D-DAFE9E5C10E4}">
      <formula1>AND($B$6&gt;=98,$B$6&lt;=280,$B$5&gt;$B$4)</formula1>
    </dataValidation>
    <dataValidation type="decimal" allowBlank="1" showInputMessage="1" showErrorMessage="1" sqref="B7 B9 B11 B13 B15" xr:uid="{8BC5DE01-1CC7-432F-877C-4452E9DD52DF}">
      <formula1>0</formula1>
      <formula2>1000</formula2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3191F-117A-4083-B32D-705195308C4B}">
  <sheetPr>
    <tabColor rgb="FFFF0000"/>
  </sheetPr>
  <dimension ref="A1:K23"/>
  <sheetViews>
    <sheetView tabSelected="1" topLeftCell="A5" workbookViewId="0">
      <selection activeCell="A24" sqref="A24"/>
    </sheetView>
  </sheetViews>
  <sheetFormatPr defaultColWidth="8.68359375" defaultRowHeight="14.25" customHeight="1" x14ac:dyDescent="0.55000000000000004"/>
  <cols>
    <col min="1" max="1" width="183.3671875" style="1" bestFit="1" customWidth="1"/>
    <col min="2" max="256" width="8.68359375" style="1"/>
    <col min="257" max="257" width="183.3671875" style="1" bestFit="1" customWidth="1"/>
    <col min="258" max="512" width="8.68359375" style="1"/>
    <col min="513" max="513" width="183.3671875" style="1" bestFit="1" customWidth="1"/>
    <col min="514" max="768" width="8.68359375" style="1"/>
    <col min="769" max="769" width="183.3671875" style="1" bestFit="1" customWidth="1"/>
    <col min="770" max="1024" width="8.68359375" style="1"/>
    <col min="1025" max="1025" width="183.3671875" style="1" bestFit="1" customWidth="1"/>
    <col min="1026" max="1280" width="8.68359375" style="1"/>
    <col min="1281" max="1281" width="183.3671875" style="1" bestFit="1" customWidth="1"/>
    <col min="1282" max="1536" width="8.68359375" style="1"/>
    <col min="1537" max="1537" width="183.3671875" style="1" bestFit="1" customWidth="1"/>
    <col min="1538" max="1792" width="8.68359375" style="1"/>
    <col min="1793" max="1793" width="183.3671875" style="1" bestFit="1" customWidth="1"/>
    <col min="1794" max="2048" width="8.68359375" style="1"/>
    <col min="2049" max="2049" width="183.3671875" style="1" bestFit="1" customWidth="1"/>
    <col min="2050" max="2304" width="8.68359375" style="1"/>
    <col min="2305" max="2305" width="183.3671875" style="1" bestFit="1" customWidth="1"/>
    <col min="2306" max="2560" width="8.68359375" style="1"/>
    <col min="2561" max="2561" width="183.3671875" style="1" bestFit="1" customWidth="1"/>
    <col min="2562" max="2816" width="8.68359375" style="1"/>
    <col min="2817" max="2817" width="183.3671875" style="1" bestFit="1" customWidth="1"/>
    <col min="2818" max="3072" width="8.68359375" style="1"/>
    <col min="3073" max="3073" width="183.3671875" style="1" bestFit="1" customWidth="1"/>
    <col min="3074" max="3328" width="8.68359375" style="1"/>
    <col min="3329" max="3329" width="183.3671875" style="1" bestFit="1" customWidth="1"/>
    <col min="3330" max="3584" width="8.68359375" style="1"/>
    <col min="3585" max="3585" width="183.3671875" style="1" bestFit="1" customWidth="1"/>
    <col min="3586" max="3840" width="8.68359375" style="1"/>
    <col min="3841" max="3841" width="183.3671875" style="1" bestFit="1" customWidth="1"/>
    <col min="3842" max="4096" width="8.68359375" style="1"/>
    <col min="4097" max="4097" width="183.3671875" style="1" bestFit="1" customWidth="1"/>
    <col min="4098" max="4352" width="8.68359375" style="1"/>
    <col min="4353" max="4353" width="183.3671875" style="1" bestFit="1" customWidth="1"/>
    <col min="4354" max="4608" width="8.68359375" style="1"/>
    <col min="4609" max="4609" width="183.3671875" style="1" bestFit="1" customWidth="1"/>
    <col min="4610" max="4864" width="8.68359375" style="1"/>
    <col min="4865" max="4865" width="183.3671875" style="1" bestFit="1" customWidth="1"/>
    <col min="4866" max="5120" width="8.68359375" style="1"/>
    <col min="5121" max="5121" width="183.3671875" style="1" bestFit="1" customWidth="1"/>
    <col min="5122" max="5376" width="8.68359375" style="1"/>
    <col min="5377" max="5377" width="183.3671875" style="1" bestFit="1" customWidth="1"/>
    <col min="5378" max="5632" width="8.68359375" style="1"/>
    <col min="5633" max="5633" width="183.3671875" style="1" bestFit="1" customWidth="1"/>
    <col min="5634" max="5888" width="8.68359375" style="1"/>
    <col min="5889" max="5889" width="183.3671875" style="1" bestFit="1" customWidth="1"/>
    <col min="5890" max="6144" width="8.68359375" style="1"/>
    <col min="6145" max="6145" width="183.3671875" style="1" bestFit="1" customWidth="1"/>
    <col min="6146" max="6400" width="8.68359375" style="1"/>
    <col min="6401" max="6401" width="183.3671875" style="1" bestFit="1" customWidth="1"/>
    <col min="6402" max="6656" width="8.68359375" style="1"/>
    <col min="6657" max="6657" width="183.3671875" style="1" bestFit="1" customWidth="1"/>
    <col min="6658" max="6912" width="8.68359375" style="1"/>
    <col min="6913" max="6913" width="183.3671875" style="1" bestFit="1" customWidth="1"/>
    <col min="6914" max="7168" width="8.68359375" style="1"/>
    <col min="7169" max="7169" width="183.3671875" style="1" bestFit="1" customWidth="1"/>
    <col min="7170" max="7424" width="8.68359375" style="1"/>
    <col min="7425" max="7425" width="183.3671875" style="1" bestFit="1" customWidth="1"/>
    <col min="7426" max="7680" width="8.68359375" style="1"/>
    <col min="7681" max="7681" width="183.3671875" style="1" bestFit="1" customWidth="1"/>
    <col min="7682" max="7936" width="8.68359375" style="1"/>
    <col min="7937" max="7937" width="183.3671875" style="1" bestFit="1" customWidth="1"/>
    <col min="7938" max="8192" width="8.68359375" style="1"/>
    <col min="8193" max="8193" width="183.3671875" style="1" bestFit="1" customWidth="1"/>
    <col min="8194" max="8448" width="8.68359375" style="1"/>
    <col min="8449" max="8449" width="183.3671875" style="1" bestFit="1" customWidth="1"/>
    <col min="8450" max="8704" width="8.68359375" style="1"/>
    <col min="8705" max="8705" width="183.3671875" style="1" bestFit="1" customWidth="1"/>
    <col min="8706" max="8960" width="8.68359375" style="1"/>
    <col min="8961" max="8961" width="183.3671875" style="1" bestFit="1" customWidth="1"/>
    <col min="8962" max="9216" width="8.68359375" style="1"/>
    <col min="9217" max="9217" width="183.3671875" style="1" bestFit="1" customWidth="1"/>
    <col min="9218" max="9472" width="8.68359375" style="1"/>
    <col min="9473" max="9473" width="183.3671875" style="1" bestFit="1" customWidth="1"/>
    <col min="9474" max="9728" width="8.68359375" style="1"/>
    <col min="9729" max="9729" width="183.3671875" style="1" bestFit="1" customWidth="1"/>
    <col min="9730" max="9984" width="8.68359375" style="1"/>
    <col min="9985" max="9985" width="183.3671875" style="1" bestFit="1" customWidth="1"/>
    <col min="9986" max="10240" width="8.68359375" style="1"/>
    <col min="10241" max="10241" width="183.3671875" style="1" bestFit="1" customWidth="1"/>
    <col min="10242" max="10496" width="8.68359375" style="1"/>
    <col min="10497" max="10497" width="183.3671875" style="1" bestFit="1" customWidth="1"/>
    <col min="10498" max="10752" width="8.68359375" style="1"/>
    <col min="10753" max="10753" width="183.3671875" style="1" bestFit="1" customWidth="1"/>
    <col min="10754" max="11008" width="8.68359375" style="1"/>
    <col min="11009" max="11009" width="183.3671875" style="1" bestFit="1" customWidth="1"/>
    <col min="11010" max="11264" width="8.68359375" style="1"/>
    <col min="11265" max="11265" width="183.3671875" style="1" bestFit="1" customWidth="1"/>
    <col min="11266" max="11520" width="8.68359375" style="1"/>
    <col min="11521" max="11521" width="183.3671875" style="1" bestFit="1" customWidth="1"/>
    <col min="11522" max="11776" width="8.68359375" style="1"/>
    <col min="11777" max="11777" width="183.3671875" style="1" bestFit="1" customWidth="1"/>
    <col min="11778" max="12032" width="8.68359375" style="1"/>
    <col min="12033" max="12033" width="183.3671875" style="1" bestFit="1" customWidth="1"/>
    <col min="12034" max="12288" width="8.68359375" style="1"/>
    <col min="12289" max="12289" width="183.3671875" style="1" bestFit="1" customWidth="1"/>
    <col min="12290" max="12544" width="8.68359375" style="1"/>
    <col min="12545" max="12545" width="183.3671875" style="1" bestFit="1" customWidth="1"/>
    <col min="12546" max="12800" width="8.68359375" style="1"/>
    <col min="12801" max="12801" width="183.3671875" style="1" bestFit="1" customWidth="1"/>
    <col min="12802" max="13056" width="8.68359375" style="1"/>
    <col min="13057" max="13057" width="183.3671875" style="1" bestFit="1" customWidth="1"/>
    <col min="13058" max="13312" width="8.68359375" style="1"/>
    <col min="13313" max="13313" width="183.3671875" style="1" bestFit="1" customWidth="1"/>
    <col min="13314" max="13568" width="8.68359375" style="1"/>
    <col min="13569" max="13569" width="183.3671875" style="1" bestFit="1" customWidth="1"/>
    <col min="13570" max="13824" width="8.68359375" style="1"/>
    <col min="13825" max="13825" width="183.3671875" style="1" bestFit="1" customWidth="1"/>
    <col min="13826" max="14080" width="8.68359375" style="1"/>
    <col min="14081" max="14081" width="183.3671875" style="1" bestFit="1" customWidth="1"/>
    <col min="14082" max="14336" width="8.68359375" style="1"/>
    <col min="14337" max="14337" width="183.3671875" style="1" bestFit="1" customWidth="1"/>
    <col min="14338" max="14592" width="8.68359375" style="1"/>
    <col min="14593" max="14593" width="183.3671875" style="1" bestFit="1" customWidth="1"/>
    <col min="14594" max="14848" width="8.68359375" style="1"/>
    <col min="14849" max="14849" width="183.3671875" style="1" bestFit="1" customWidth="1"/>
    <col min="14850" max="15104" width="8.68359375" style="1"/>
    <col min="15105" max="15105" width="183.3671875" style="1" bestFit="1" customWidth="1"/>
    <col min="15106" max="15360" width="8.68359375" style="1"/>
    <col min="15361" max="15361" width="183.3671875" style="1" bestFit="1" customWidth="1"/>
    <col min="15362" max="15616" width="8.68359375" style="1"/>
    <col min="15617" max="15617" width="183.3671875" style="1" bestFit="1" customWidth="1"/>
    <col min="15618" max="15872" width="8.68359375" style="1"/>
    <col min="15873" max="15873" width="183.3671875" style="1" bestFit="1" customWidth="1"/>
    <col min="15874" max="16128" width="8.68359375" style="1"/>
    <col min="16129" max="16129" width="183.3671875" style="1" bestFit="1" customWidth="1"/>
    <col min="16130" max="16384" width="8.68359375" style="1"/>
  </cols>
  <sheetData>
    <row r="1" spans="1:1" ht="14.25" customHeight="1" x14ac:dyDescent="0.55000000000000004">
      <c r="A1" s="1" t="s">
        <v>93</v>
      </c>
    </row>
    <row r="2" spans="1:1" ht="14.25" customHeight="1" x14ac:dyDescent="0.55000000000000004">
      <c r="A2" s="1" t="s">
        <v>108</v>
      </c>
    </row>
    <row r="3" spans="1:1" ht="14.25" customHeight="1" x14ac:dyDescent="0.55000000000000004">
      <c r="A3" s="1" t="s">
        <v>107</v>
      </c>
    </row>
    <row r="5" spans="1:1" ht="14.25" customHeight="1" x14ac:dyDescent="0.55000000000000004">
      <c r="A5" s="1" t="s">
        <v>94</v>
      </c>
    </row>
    <row r="7" spans="1:1" ht="14.25" customHeight="1" x14ac:dyDescent="0.55000000000000004">
      <c r="A7" s="1" t="s">
        <v>95</v>
      </c>
    </row>
    <row r="9" spans="1:1" ht="14.25" customHeight="1" x14ac:dyDescent="0.55000000000000004">
      <c r="A9" s="1" t="s">
        <v>106</v>
      </c>
    </row>
    <row r="10" spans="1:1" ht="14.25" customHeight="1" x14ac:dyDescent="0.55000000000000004">
      <c r="A10" s="2" t="s">
        <v>103</v>
      </c>
    </row>
    <row r="11" spans="1:1" ht="14.25" customHeight="1" x14ac:dyDescent="0.55000000000000004">
      <c r="A11" s="2" t="s">
        <v>104</v>
      </c>
    </row>
    <row r="12" spans="1:1" ht="14.25" customHeight="1" x14ac:dyDescent="0.55000000000000004">
      <c r="A12" s="2" t="s">
        <v>96</v>
      </c>
    </row>
    <row r="13" spans="1:1" ht="14.25" customHeight="1" x14ac:dyDescent="0.55000000000000004">
      <c r="A13" s="3" t="s">
        <v>97</v>
      </c>
    </row>
    <row r="14" spans="1:1" ht="14.25" customHeight="1" x14ac:dyDescent="0.55000000000000004">
      <c r="A14" s="3" t="s">
        <v>105</v>
      </c>
    </row>
    <row r="15" spans="1:1" ht="14.25" customHeight="1" x14ac:dyDescent="0.55000000000000004">
      <c r="A15" s="3"/>
    </row>
    <row r="16" spans="1:1" ht="14.25" customHeight="1" x14ac:dyDescent="0.55000000000000004">
      <c r="A16" s="4" t="s">
        <v>98</v>
      </c>
    </row>
    <row r="17" spans="1:11" ht="14.25" customHeight="1" x14ac:dyDescent="0.55000000000000004">
      <c r="A17" s="3"/>
    </row>
    <row r="18" spans="1:11" ht="14.25" customHeight="1" x14ac:dyDescent="0.55000000000000004">
      <c r="A18" s="4" t="s">
        <v>99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55000000000000004">
      <c r="A19" s="5" t="s">
        <v>100</v>
      </c>
    </row>
    <row r="20" spans="1:11" ht="14.25" customHeight="1" x14ac:dyDescent="0.55000000000000004">
      <c r="A20" s="7"/>
    </row>
    <row r="21" spans="1:11" ht="14.25" customHeight="1" x14ac:dyDescent="0.55000000000000004">
      <c r="A21" s="1" t="s">
        <v>101</v>
      </c>
    </row>
    <row r="22" spans="1:11" s="10" customFormat="1" ht="14.25" customHeight="1" x14ac:dyDescent="0.55000000000000004">
      <c r="A22" s="7" t="s">
        <v>102</v>
      </c>
      <c r="B22" s="9"/>
    </row>
    <row r="23" spans="1:11" ht="14.25" customHeight="1" x14ac:dyDescent="0.55000000000000004">
      <c r="A23" s="8">
        <v>45667</v>
      </c>
    </row>
  </sheetData>
  <sheetProtection algorithmName="SHA-512" hashValue="/n3kPv1PnzIs3MligPlSlL0cLpeN2Io7lv7XJfUB37qS42/FapsTyDOZGXVbaiq4dn/dRRQNFvE9Vq4XlPbcWA==" saltValue="+lbei68s11+BVE3bI4a6yg==" spinCount="100000" sheet="1" selectLockedCells="1" selectUnlockedCells="1"/>
  <hyperlinks>
    <hyperlink ref="A19" r:id="rId1" location="Anthro--calculators" xr:uid="{E5534F9E-2EDB-443B-8F4D-3C20D5690582}"/>
    <hyperlink ref="A22" r:id="rId2" xr:uid="{66DC077C-95F9-461E-9118-CF52A0A7DD05}"/>
  </hyperlinks>
  <pageMargins left="0.7" right="0.7" top="0.75" bottom="0.75" header="0.3" footer="0.3"/>
  <pageSetup orientation="portrait" horizontalDpi="0" verticalDpi="0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ustom Document" ma:contentTypeID="0x0101008E6CB98D40FF9B4CB0271192DA214C5D00C232EB5A6389A3459C2213A3D9760B3E" ma:contentTypeVersion="6" ma:contentTypeDescription="Create a new document." ma:contentTypeScope="" ma:versionID="29c75ae729e943ebf081a2f6734f4dfe">
  <xsd:schema xmlns:xsd="http://www.w3.org/2001/XMLSchema" xmlns:xs="http://www.w3.org/2001/XMLSchema" xmlns:p="http://schemas.microsoft.com/office/2006/metadata/properties" xmlns:ns2="26dbe106-944e-4fd6-9021-c9d90b7288fc" xmlns:ns3="4de64c37-ebdf-406a-9f1b-af099cf715f4" targetNamespace="http://schemas.microsoft.com/office/2006/metadata/properties" ma:root="true" ma:fieldsID="ccb8014d0ab65e001f3e1318711a50a1" ns2:_="" ns3:_="">
    <xsd:import namespace="26dbe106-944e-4fd6-9021-c9d90b7288fc"/>
    <xsd:import namespace="4de64c37-ebdf-406a-9f1b-af099cf715f4"/>
    <xsd:element name="properties">
      <xsd:complexType>
        <xsd:sequence>
          <xsd:element name="documentManagement">
            <xsd:complexType>
              <xsd:all>
                <xsd:element ref="ns2:d54dd449c2c54af89444c3906a20b699" minOccurs="0"/>
                <xsd:element ref="ns2:TaxCatchAll" minOccurs="0"/>
                <xsd:element ref="ns2:TaxCatchAllLabel" minOccurs="0"/>
                <xsd:element ref="ns2:k05366dfea714127ab8826af69afb524" minOccurs="0"/>
                <xsd:element ref="ns3:DocumentDescription" minOccurs="0"/>
                <xsd:element ref="ns3:DocumentLanguage" minOccurs="0"/>
                <xsd:element ref="ns3:Audience1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e106-944e-4fd6-9021-c9d90b7288fc" elementFormDefault="qualified">
    <xsd:import namespace="http://schemas.microsoft.com/office/2006/documentManagement/types"/>
    <xsd:import namespace="http://schemas.microsoft.com/office/infopath/2007/PartnerControls"/>
    <xsd:element name="d54dd449c2c54af89444c3906a20b699" ma:index="8" nillable="true" ma:taxonomy="true" ma:internalName="d54dd449c2c54af89444c3906a20b699" ma:taxonomyFieldName="ResourceCategory" ma:displayName="Resource Category" ma:fieldId="{d54dd449-c2c5-4af8-9444-c3906a20b699}" ma:taxonomyMulti="true" ma:sspId="e5481489-1c4e-4a78-9d25-61807e18e714" ma:termSetId="d477b736-22e1-4c03-907d-7fbde261d4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9f57bd62-c4a3-4766-bbc7-05d4198744fa}" ma:internalName="TaxCatchAll" ma:showField="CatchAllData" ma:web="26dbe106-944e-4fd6-9021-c9d90b728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f57bd62-c4a3-4766-bbc7-05d4198744fa}" ma:internalName="TaxCatchAllLabel" ma:readOnly="true" ma:showField="CatchAllDataLabel" ma:web="26dbe106-944e-4fd6-9021-c9d90b728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05366dfea714127ab8826af69afb524" ma:index="12" nillable="true" ma:taxonomy="true" ma:internalName="k05366dfea714127ab8826af69afb524" ma:taxonomyFieldName="ResourceType" ma:displayName="ResourceType" ma:fieldId="{405366df-ea71-4127-ab88-26af69afb524}" ma:taxonomyMulti="true" ma:sspId="e5481489-1c4e-4a78-9d25-61807e18e714" ma:termSetId="f367d6b2-406a-443d-b850-249d3ebc6b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e64c37-ebdf-406a-9f1b-af099cf715f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14" nillable="true" ma:displayName="Resource Description" ma:internalName="DocumentDescription">
      <xsd:simpleType>
        <xsd:restriction base="dms:Note">
          <xsd:maxLength value="255"/>
        </xsd:restriction>
      </xsd:simpleType>
    </xsd:element>
    <xsd:element name="DocumentLanguage" ma:index="15" nillable="true" ma:displayName="Resource Language" ma:format="Dropdown" ma:internalName="DocumentLanguage">
      <xsd:simpleType>
        <xsd:restriction base="dms:Choice">
          <xsd:enumeration value="Arabic"/>
          <xsd:enumeration value="Chinese (Simplified)"/>
          <xsd:enumeration value="Chinese (Traditional)"/>
          <xsd:enumeration value="French"/>
          <xsd:enumeration value="Spanish"/>
          <xsd:enumeration value="Russian"/>
          <xsd:enumeration value="Vietnamese"/>
        </xsd:restriction>
      </xsd:simpleType>
    </xsd:element>
    <xsd:element name="Audience1" ma:index="16" nillable="true" ma:displayName="Audience" ma:internalName="Audience1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Health Professionals"/>
                    <xsd:enumeration value="Patients and Families"/>
                    <xsd:enumeration value="Physicians"/>
                    <xsd:enumeration value="Researcher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escription xmlns="4de64c37-ebdf-406a-9f1b-af099cf715f4" xsi:nil="true"/>
    <Audience1 xmlns="4de64c37-ebdf-406a-9f1b-af099cf715f4"/>
    <_dlc_DocId xmlns="26dbe106-944e-4fd6-9021-c9d90b7288fc">BCCH-24-541</_dlc_DocId>
    <d54dd449c2c54af89444c3906a20b699 xmlns="26dbe106-944e-4fd6-9021-c9d90b7288fc">
      <Terms xmlns="http://schemas.microsoft.com/office/infopath/2007/PartnerControls"/>
    </d54dd449c2c54af89444c3906a20b699>
    <k05366dfea714127ab8826af69afb524 xmlns="26dbe106-944e-4fd6-9021-c9d90b7288fc">
      <Terms xmlns="http://schemas.microsoft.com/office/infopath/2007/PartnerControls"/>
    </k05366dfea714127ab8826af69afb524>
    <DocumentLanguage xmlns="4de64c37-ebdf-406a-9f1b-af099cf715f4" xsi:nil="true"/>
    <TaxCatchAll xmlns="26dbe106-944e-4fd6-9021-c9d90b7288fc"/>
    <_dlc_DocIdUrl xmlns="26dbe106-944e-4fd6-9021-c9d90b7288fc">
      <Url>https://editbcch.phsa.ca/endocrinology-diabetes-site/_layouts/15/DocIdRedir.aspx?ID=BCCH-24-541</Url>
      <Description>BCCH-24-541</Description>
    </_dlc_DocIdUrl>
  </documentManagement>
</p:properties>
</file>

<file path=customXml/itemProps1.xml><?xml version="1.0" encoding="utf-8"?>
<ds:datastoreItem xmlns:ds="http://schemas.openxmlformats.org/officeDocument/2006/customXml" ds:itemID="{818D8C24-CF2E-44D1-ACE5-09A6C5B51D22}"/>
</file>

<file path=customXml/itemProps2.xml><?xml version="1.0" encoding="utf-8"?>
<ds:datastoreItem xmlns:ds="http://schemas.openxmlformats.org/officeDocument/2006/customXml" ds:itemID="{8088DE91-CC29-4E6D-ABA7-E807C41EDA1C}"/>
</file>

<file path=customXml/itemProps3.xml><?xml version="1.0" encoding="utf-8"?>
<ds:datastoreItem xmlns:ds="http://schemas.openxmlformats.org/officeDocument/2006/customXml" ds:itemID="{2BF22F98-93ED-4A1A-BB4B-7F0E60D5ECBD}"/>
</file>

<file path=customXml/itemProps4.xml><?xml version="1.0" encoding="utf-8"?>
<ds:datastoreItem xmlns:ds="http://schemas.openxmlformats.org/officeDocument/2006/customXml" ds:itemID="{2E60995B-88C2-41B4-96CA-54F422368E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FetalGrowth</vt:lpstr>
      <vt:lpstr>User Info</vt:lpstr>
      <vt:lpstr>FetalGrowth!Print_Area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Daniel Metzger</dc:creator>
  <cp:lastModifiedBy>Daniel Metzger</cp:lastModifiedBy>
  <cp:lastPrinted>2025-01-02T00:36:57Z</cp:lastPrinted>
  <dcterms:created xsi:type="dcterms:W3CDTF">2025-01-01T20:44:53Z</dcterms:created>
  <dcterms:modified xsi:type="dcterms:W3CDTF">2025-01-11T06:08:26Z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01f8b8e8-ff06-4177-ab99-86d0c15025c2</vt:lpwstr>
  </property>
  <property fmtid="{D5CDD505-2E9C-101B-9397-08002B2CF9AE}" pid="3" name="ContentTypeId">
    <vt:lpwstr>0x0101008E6CB98D40FF9B4CB0271192DA214C5D00C232EB5A6389A3459C2213A3D9760B3E</vt:lpwstr>
  </property>
  <property fmtid="{D5CDD505-2E9C-101B-9397-08002B2CF9AE}" pid="4" name="ResourceCategory">
    <vt:lpwstr/>
  </property>
  <property fmtid="{D5CDD505-2E9C-101B-9397-08002B2CF9AE}" pid="5" name="ResourceType">
    <vt:lpwstr/>
  </property>
</Properties>
</file>